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B43" i="1" l="1"/>
  <c r="B10" i="1" l="1"/>
  <c r="B9" i="1"/>
  <c r="D45" i="1" l="1"/>
  <c r="D44" i="1"/>
  <c r="D43" i="1"/>
  <c r="D42" i="1"/>
  <c r="D41" i="1"/>
  <c r="H45" i="1"/>
  <c r="H44" i="1"/>
  <c r="H42" i="1"/>
  <c r="H41" i="1"/>
  <c r="B51" i="1" l="1"/>
  <c r="B52" i="1" s="1"/>
  <c r="B48" i="1"/>
  <c r="B47" i="1"/>
  <c r="B49" i="1"/>
  <c r="B53" i="1"/>
  <c r="F49" i="1"/>
  <c r="F51" i="1"/>
  <c r="F38" i="1"/>
  <c r="F37" i="1"/>
  <c r="F36" i="1"/>
  <c r="H43" i="1"/>
  <c r="F53" i="1" l="1"/>
  <c r="F52" i="1"/>
  <c r="F48" i="1"/>
  <c r="F47" i="1"/>
  <c r="C32" i="1"/>
  <c r="E32" i="1"/>
  <c r="G32" i="1"/>
  <c r="I32" i="1"/>
  <c r="K32" i="1"/>
  <c r="M32" i="1"/>
  <c r="L31" i="1"/>
  <c r="J31" i="1"/>
  <c r="F31" i="1"/>
  <c r="D31" i="1"/>
  <c r="B16" i="1" l="1"/>
  <c r="B15" i="1"/>
  <c r="B29" i="1" s="1"/>
  <c r="J32" i="1" l="1"/>
  <c r="B32" i="1"/>
  <c r="B36" i="1" s="1"/>
  <c r="H32" i="1"/>
  <c r="L32" i="1"/>
  <c r="D32" i="1"/>
  <c r="B37" i="1" s="1"/>
  <c r="F32" i="1"/>
  <c r="B38" i="1" s="1"/>
  <c r="B17" i="1"/>
  <c r="B14" i="1"/>
  <c r="B18" i="1" l="1"/>
</calcChain>
</file>

<file path=xl/sharedStrings.xml><?xml version="1.0" encoding="utf-8"?>
<sst xmlns="http://schemas.openxmlformats.org/spreadsheetml/2006/main" count="92" uniqueCount="69">
  <si>
    <t>Filter Design</t>
  </si>
  <si>
    <t>Date</t>
  </si>
  <si>
    <t>Project</t>
  </si>
  <si>
    <t>Bispectrum Visualizer</t>
  </si>
  <si>
    <t>A</t>
  </si>
  <si>
    <t>B</t>
  </si>
  <si>
    <t>C</t>
  </si>
  <si>
    <t>Specifications</t>
  </si>
  <si>
    <t>Passband ripple</t>
  </si>
  <si>
    <t>Cutoff frequency</t>
  </si>
  <si>
    <t>Stop frequency</t>
  </si>
  <si>
    <t>Value</t>
  </si>
  <si>
    <t>Unit</t>
  </si>
  <si>
    <t>dB</t>
  </si>
  <si>
    <t>rad/s</t>
  </si>
  <si>
    <t>Stopband attenuation</t>
  </si>
  <si>
    <t>Filter type</t>
  </si>
  <si>
    <t>Chebyshev Type I</t>
  </si>
  <si>
    <t>Filter response</t>
  </si>
  <si>
    <t>Low pass</t>
  </si>
  <si>
    <t>Calculations</t>
  </si>
  <si>
    <t>g</t>
  </si>
  <si>
    <r>
      <rPr>
        <sz val="11"/>
        <color theme="1"/>
        <rFont val="Calibri"/>
        <family val="2"/>
      </rPr>
      <t>Ωr:</t>
    </r>
    <r>
      <rPr>
        <sz val="11"/>
        <color theme="1"/>
        <rFont val="Calibri"/>
        <family val="2"/>
        <scheme val="minor"/>
      </rPr>
      <t xml:space="preserve"> Stop (critical) frequency for normalized filter</t>
    </r>
  </si>
  <si>
    <t>ϵ</t>
  </si>
  <si>
    <t>b0</t>
  </si>
  <si>
    <t>Hn(s)=Kn/Vn(s)</t>
  </si>
  <si>
    <t>Q</t>
  </si>
  <si>
    <t>Attenuation at cutoff is same as passband ripple</t>
  </si>
  <si>
    <t xml:space="preserve">A </t>
  </si>
  <si>
    <t>First</t>
  </si>
  <si>
    <t>Second</t>
  </si>
  <si>
    <t>Conjugate pair</t>
  </si>
  <si>
    <t>Kn=b0/sqrt(1 + ϵ^2) =</t>
  </si>
  <si>
    <t>(transfer fcn)</t>
  </si>
  <si>
    <t>Real component:</t>
  </si>
  <si>
    <t>Imaginary component:</t>
  </si>
  <si>
    <t>STAGE 1 coefficients</t>
  </si>
  <si>
    <t xml:space="preserve">s + </t>
  </si>
  <si>
    <t>)</t>
  </si>
  <si>
    <r>
      <t>s -&gt; s/</t>
    </r>
    <r>
      <rPr>
        <sz val="11"/>
        <color theme="1"/>
        <rFont val="Calibri"/>
        <family val="2"/>
      </rPr>
      <t>Ω</t>
    </r>
  </si>
  <si>
    <t>s^2 +</t>
  </si>
  <si>
    <t>)              (</t>
  </si>
  <si>
    <t>V4(s)/Kn = (</t>
  </si>
  <si>
    <t>V4(s) = (</t>
  </si>
  <si>
    <t>STAGE 1</t>
  </si>
  <si>
    <t>STAGE 2</t>
  </si>
  <si>
    <t>calculated A</t>
  </si>
  <si>
    <t>calculated B</t>
  </si>
  <si>
    <t>calculated C</t>
  </si>
  <si>
    <t>STAGE 2 coefficients</t>
  </si>
  <si>
    <t>(Low pass-low pass transformation)</t>
  </si>
  <si>
    <t>STAGE 2 components</t>
  </si>
  <si>
    <t>R1 [ohms]</t>
  </si>
  <si>
    <t>C2 [F]</t>
  </si>
  <si>
    <t>R3 [ohms]</t>
  </si>
  <si>
    <t>R4 [ohms]</t>
  </si>
  <si>
    <t>C5 [F]</t>
  </si>
  <si>
    <r>
      <t>%</t>
    </r>
    <r>
      <rPr>
        <sz val="11"/>
        <color theme="1"/>
        <rFont val="Calibri"/>
        <family val="2"/>
      </rPr>
      <t>Δ</t>
    </r>
  </si>
  <si>
    <t>final value</t>
  </si>
  <si>
    <t>STAGE 1 components</t>
  </si>
  <si>
    <t>ideal value</t>
  </si>
  <si>
    <t>n: req'd filter order</t>
  </si>
  <si>
    <t>(this is distributed between the two stages)</t>
  </si>
  <si>
    <t>K [V/V]</t>
  </si>
  <si>
    <t>f0 [Hz]</t>
  </si>
  <si>
    <t>Equations from https://en.wikipedia.org/wiki/Electronic_filter_topology#Multiple_feedback_topology [Accessed Dec 28, 2016]</t>
  </si>
  <si>
    <t>Transfer function for normalized filter</t>
  </si>
  <si>
    <t>Desired poles for normalized filter with 1 rad/s cutoff freq</t>
  </si>
  <si>
    <t>From lookup tables 3.4 and 3.5 in Lonnie Ludeman's Fundamentals of Digital Signal Processing (1986)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</si>
</sst>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1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114300</xdr:rowOff>
    </xdr:to>
    <xdr:sp macro="" textlink="">
      <xdr:nvSpPr>
        <xdr:cNvPr id="1027" name="AutoShape 3" descr="H(s)={\frac  {V_{o}}{V_{i}}}=-{\frac  {1}{As^{2}+Bs+C}}={\frac  {K{\omega _{0}}^{2}}{s^{{2}}+{\frac  {\omega _{{0}}}{Q}}s+{\omega _{0}}^{2}}}"/>
        <xdr:cNvSpPr>
          <a:spLocks noChangeAspect="1" noChangeArrowheads="1"/>
        </xdr:cNvSpPr>
      </xdr:nvSpPr>
      <xdr:spPr bwMode="auto">
        <a:xfrm>
          <a:off x="552450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114300</xdr:rowOff>
    </xdr:to>
    <xdr:sp macro="" textlink="">
      <xdr:nvSpPr>
        <xdr:cNvPr id="1028" name="AutoShape 4" descr="H(s)={\frac  {V_{o}}{V_{i}}}=-{\frac  {1}{As^{2}+Bs+C}}={\frac  {K{\omega _{0}}^{2}}{s^{{2}}+{\frac  {\omega _{{0}}}{Q}}s+{\omega _{0}}^{2}}}"/>
        <xdr:cNvSpPr>
          <a:spLocks noChangeAspect="1" noChangeArrowheads="1"/>
        </xdr:cNvSpPr>
      </xdr:nvSpPr>
      <xdr:spPr bwMode="auto">
        <a:xfrm>
          <a:off x="552450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9" workbookViewId="0">
      <selection activeCell="H23" sqref="H23"/>
    </sheetView>
  </sheetViews>
  <sheetFormatPr defaultRowHeight="15" x14ac:dyDescent="0.25"/>
  <cols>
    <col min="1" max="1" width="20.28515625" customWidth="1"/>
    <col min="2" max="2" width="10.42578125" customWidth="1"/>
    <col min="3" max="3" width="10.7109375" customWidth="1"/>
    <col min="4" max="4" width="11.42578125" customWidth="1"/>
    <col min="5" max="5" width="12.140625" customWidth="1"/>
    <col min="6" max="6" width="12" bestFit="1" customWidth="1"/>
  </cols>
  <sheetData>
    <row r="1" spans="1:4" x14ac:dyDescent="0.25">
      <c r="A1" s="2" t="s">
        <v>0</v>
      </c>
    </row>
    <row r="2" spans="1:4" x14ac:dyDescent="0.25">
      <c r="A2" t="s">
        <v>2</v>
      </c>
      <c r="B2" t="s">
        <v>3</v>
      </c>
    </row>
    <row r="3" spans="1:4" x14ac:dyDescent="0.25">
      <c r="A3" t="s">
        <v>1</v>
      </c>
      <c r="B3" s="1">
        <v>42771</v>
      </c>
    </row>
    <row r="4" spans="1:4" x14ac:dyDescent="0.25">
      <c r="A4" t="s">
        <v>16</v>
      </c>
      <c r="B4" t="s">
        <v>19</v>
      </c>
    </row>
    <row r="5" spans="1:4" x14ac:dyDescent="0.25">
      <c r="A5" t="s">
        <v>18</v>
      </c>
      <c r="B5" t="s">
        <v>17</v>
      </c>
    </row>
    <row r="7" spans="1:4" x14ac:dyDescent="0.25">
      <c r="A7" s="2" t="s">
        <v>7</v>
      </c>
      <c r="B7" s="2" t="s">
        <v>11</v>
      </c>
      <c r="C7" s="2" t="s">
        <v>12</v>
      </c>
    </row>
    <row r="8" spans="1:4" x14ac:dyDescent="0.25">
      <c r="A8" t="s">
        <v>8</v>
      </c>
      <c r="B8">
        <v>1</v>
      </c>
      <c r="C8" t="s">
        <v>13</v>
      </c>
    </row>
    <row r="9" spans="1:4" x14ac:dyDescent="0.25">
      <c r="A9" t="s">
        <v>9</v>
      </c>
      <c r="B9">
        <f>2*PI()*12000</f>
        <v>75398.223686155034</v>
      </c>
      <c r="C9" t="s">
        <v>14</v>
      </c>
      <c r="D9" t="s">
        <v>27</v>
      </c>
    </row>
    <row r="10" spans="1:4" x14ac:dyDescent="0.25">
      <c r="A10" t="s">
        <v>10</v>
      </c>
      <c r="B10">
        <f>2*PI()*22000</f>
        <v>138230.07675795088</v>
      </c>
      <c r="C10" t="s">
        <v>14</v>
      </c>
    </row>
    <row r="11" spans="1:4" x14ac:dyDescent="0.25">
      <c r="A11" t="s">
        <v>15</v>
      </c>
      <c r="B11">
        <v>30</v>
      </c>
      <c r="C11" t="s">
        <v>13</v>
      </c>
    </row>
    <row r="13" spans="1:4" x14ac:dyDescent="0.25">
      <c r="A13" s="2" t="s">
        <v>20</v>
      </c>
    </row>
    <row r="14" spans="1:4" ht="45" x14ac:dyDescent="0.25">
      <c r="A14" s="3" t="s">
        <v>22</v>
      </c>
      <c r="B14">
        <f>$B$10/$B$9</f>
        <v>1.8333333333333333</v>
      </c>
      <c r="C14" t="s">
        <v>14</v>
      </c>
    </row>
    <row r="15" spans="1:4" x14ac:dyDescent="0.25">
      <c r="A15" s="4" t="s">
        <v>23</v>
      </c>
      <c r="B15">
        <f>SQRT(1/(POWER(10,-1*B8/10))-1)</f>
        <v>0.50884713990958752</v>
      </c>
    </row>
    <row r="16" spans="1:4" x14ac:dyDescent="0.25">
      <c r="A16" t="s">
        <v>4</v>
      </c>
      <c r="B16">
        <f>POWER(10,B11/20)</f>
        <v>31.622776601683803</v>
      </c>
    </row>
    <row r="17" spans="1:13" x14ac:dyDescent="0.25">
      <c r="A17" t="s">
        <v>21</v>
      </c>
      <c r="B17">
        <f>SQRT((POWER(B16,2)-1)/POWER(B15,2))</f>
        <v>62.114845067566229</v>
      </c>
    </row>
    <row r="18" spans="1:13" x14ac:dyDescent="0.25">
      <c r="A18" t="s">
        <v>61</v>
      </c>
      <c r="B18">
        <f>CEILING(LOG10(B17+SQRT(POWER(B17,2)-1))/LOG10(B14+SQRT(POWER(B14,2)-1)),1)</f>
        <v>4</v>
      </c>
    </row>
    <row r="20" spans="1:13" x14ac:dyDescent="0.25">
      <c r="A20" s="2" t="s">
        <v>67</v>
      </c>
      <c r="F20" t="s">
        <v>68</v>
      </c>
    </row>
    <row r="21" spans="1:13" x14ac:dyDescent="0.25">
      <c r="A21" t="s">
        <v>31</v>
      </c>
      <c r="B21" s="6" t="s">
        <v>29</v>
      </c>
      <c r="C21" s="6" t="s">
        <v>30</v>
      </c>
    </row>
    <row r="22" spans="1:13" x14ac:dyDescent="0.25">
      <c r="A22" t="s">
        <v>34</v>
      </c>
      <c r="B22">
        <v>-0.13953599999999999</v>
      </c>
      <c r="C22">
        <v>-0.33686969999999999</v>
      </c>
    </row>
    <row r="23" spans="1:13" x14ac:dyDescent="0.25">
      <c r="A23" t="s">
        <v>35</v>
      </c>
      <c r="B23">
        <v>0.98333791999999998</v>
      </c>
      <c r="C23">
        <v>0.407329</v>
      </c>
    </row>
    <row r="25" spans="1:13" x14ac:dyDescent="0.25">
      <c r="A25" t="s">
        <v>24</v>
      </c>
      <c r="B25">
        <v>0.27562759999999997</v>
      </c>
      <c r="C25" t="s">
        <v>62</v>
      </c>
    </row>
    <row r="27" spans="1:13" x14ac:dyDescent="0.25">
      <c r="A27" s="2" t="s">
        <v>66</v>
      </c>
    </row>
    <row r="28" spans="1:13" x14ac:dyDescent="0.25">
      <c r="A28" t="s">
        <v>25</v>
      </c>
      <c r="B28" t="s">
        <v>33</v>
      </c>
    </row>
    <row r="29" spans="1:13" x14ac:dyDescent="0.25">
      <c r="A29" t="s">
        <v>32</v>
      </c>
      <c r="B29">
        <f>B25/SQRT(1+POWER(B15,2))</f>
        <v>0.24565335707555272</v>
      </c>
    </row>
    <row r="30" spans="1:13" x14ac:dyDescent="0.25">
      <c r="B30" s="2" t="s">
        <v>44</v>
      </c>
      <c r="H30" s="2" t="s">
        <v>45</v>
      </c>
    </row>
    <row r="31" spans="1:13" x14ac:dyDescent="0.25">
      <c r="A31" s="7" t="s">
        <v>43</v>
      </c>
      <c r="B31" s="7">
        <v>1</v>
      </c>
      <c r="C31" t="s">
        <v>40</v>
      </c>
      <c r="D31">
        <f>-2*$B$22</f>
        <v>0.27907199999999999</v>
      </c>
      <c r="E31" t="s">
        <v>37</v>
      </c>
      <c r="F31">
        <f>POWER($B$22,2)+POWER($B$23,2)</f>
        <v>0.98642376020592637</v>
      </c>
      <c r="G31" t="s">
        <v>41</v>
      </c>
      <c r="H31">
        <v>1</v>
      </c>
      <c r="I31" t="s">
        <v>40</v>
      </c>
      <c r="J31">
        <f>-2*$C$22</f>
        <v>0.67373939999999999</v>
      </c>
      <c r="K31" t="s">
        <v>37</v>
      </c>
      <c r="L31">
        <f>POWER($C$22,2)+POWER($C$23,2)</f>
        <v>0.27939810901909001</v>
      </c>
      <c r="M31" t="s">
        <v>38</v>
      </c>
    </row>
    <row r="32" spans="1:13" x14ac:dyDescent="0.25">
      <c r="A32" s="7" t="s">
        <v>42</v>
      </c>
      <c r="B32">
        <f>B$31/SQRT($B$29)</f>
        <v>2.0176166270209417</v>
      </c>
      <c r="C32" t="str">
        <f>C$31</f>
        <v>s^2 +</v>
      </c>
      <c r="D32">
        <f>D$31/SQRT($B$29)</f>
        <v>0.56306030733598822</v>
      </c>
      <c r="E32" t="str">
        <f>E$31</f>
        <v xml:space="preserve">s + </v>
      </c>
      <c r="F32">
        <f>F$31/SQRT($B$29)</f>
        <v>1.9902249798799954</v>
      </c>
      <c r="G32" t="str">
        <f>G$31</f>
        <v>)              (</v>
      </c>
      <c r="H32">
        <f>H$31/SQRT($B$29)</f>
        <v>2.0176166270209417</v>
      </c>
      <c r="I32" t="str">
        <f>I$31</f>
        <v>s^2 +</v>
      </c>
      <c r="J32">
        <f>J$31/SQRT($B$29)</f>
        <v>1.359347815719113</v>
      </c>
      <c r="K32" t="str">
        <f>K$31</f>
        <v xml:space="preserve">s + </v>
      </c>
      <c r="L32">
        <f>L$31/SQRT($B$29)</f>
        <v>0.56371827031512578</v>
      </c>
      <c r="M32" t="str">
        <f>M$31</f>
        <v>)</v>
      </c>
    </row>
    <row r="33" spans="1:10" x14ac:dyDescent="0.25">
      <c r="A33" s="2"/>
    </row>
    <row r="34" spans="1:10" x14ac:dyDescent="0.25">
      <c r="A34" s="2" t="s">
        <v>36</v>
      </c>
      <c r="E34" s="2" t="s">
        <v>49</v>
      </c>
    </row>
    <row r="35" spans="1:10" x14ac:dyDescent="0.25">
      <c r="A35" t="s">
        <v>39</v>
      </c>
      <c r="B35" t="s">
        <v>50</v>
      </c>
      <c r="E35" t="s">
        <v>39</v>
      </c>
      <c r="F35" t="s">
        <v>50</v>
      </c>
    </row>
    <row r="36" spans="1:10" x14ac:dyDescent="0.25">
      <c r="A36" t="s">
        <v>28</v>
      </c>
      <c r="B36">
        <f>B32/POWER($B$9,2)</f>
        <v>3.5490851525385932E-10</v>
      </c>
      <c r="E36" t="s">
        <v>28</v>
      </c>
      <c r="F36">
        <f>H32/POWER($B$9,2)</f>
        <v>3.5490851525385932E-10</v>
      </c>
    </row>
    <row r="37" spans="1:10" x14ac:dyDescent="0.25">
      <c r="A37" t="s">
        <v>5</v>
      </c>
      <c r="B37">
        <f>D32/$B$9</f>
        <v>7.4678192642803589E-6</v>
      </c>
      <c r="E37" t="s">
        <v>5</v>
      </c>
      <c r="F37">
        <f>J32/$B$9</f>
        <v>1.8028910354405639E-5</v>
      </c>
    </row>
    <row r="38" spans="1:10" x14ac:dyDescent="0.25">
      <c r="A38" t="s">
        <v>6</v>
      </c>
      <c r="B38">
        <f>F32</f>
        <v>1.9902249798799954</v>
      </c>
      <c r="E38" t="s">
        <v>6</v>
      </c>
      <c r="F38">
        <f>L32</f>
        <v>0.56371827031512578</v>
      </c>
    </row>
    <row r="40" spans="1:10" x14ac:dyDescent="0.25">
      <c r="A40" s="2" t="s">
        <v>59</v>
      </c>
      <c r="B40" t="s">
        <v>60</v>
      </c>
      <c r="C40" s="7" t="s">
        <v>57</v>
      </c>
      <c r="D40" t="s">
        <v>58</v>
      </c>
      <c r="E40" s="2" t="s">
        <v>51</v>
      </c>
      <c r="G40" s="7" t="s">
        <v>57</v>
      </c>
      <c r="H40" t="s">
        <v>58</v>
      </c>
      <c r="J40" t="s">
        <v>65</v>
      </c>
    </row>
    <row r="41" spans="1:10" x14ac:dyDescent="0.25">
      <c r="A41" t="s">
        <v>52</v>
      </c>
      <c r="B41">
        <v>1000</v>
      </c>
      <c r="C41">
        <v>0</v>
      </c>
      <c r="D41">
        <f>B41*(1+C41/100)</f>
        <v>1000</v>
      </c>
      <c r="E41" t="s">
        <v>52</v>
      </c>
      <c r="F41">
        <v>487</v>
      </c>
      <c r="G41">
        <v>0</v>
      </c>
      <c r="H41">
        <f>F41*(1+G41/100)</f>
        <v>487</v>
      </c>
    </row>
    <row r="42" spans="1:10" x14ac:dyDescent="0.25">
      <c r="A42" t="s">
        <v>53</v>
      </c>
      <c r="B42" s="5">
        <v>1.4999999999999999E-7</v>
      </c>
      <c r="C42">
        <v>0</v>
      </c>
      <c r="D42">
        <f>B42*(1+C42/100)</f>
        <v>1.4999999999999999E-7</v>
      </c>
      <c r="E42" t="s">
        <v>53</v>
      </c>
      <c r="F42" s="5">
        <v>9.9999999999999995E-8</v>
      </c>
      <c r="G42">
        <v>0</v>
      </c>
      <c r="H42">
        <f>F42*(1+G42/100)</f>
        <v>9.9999999999999995E-8</v>
      </c>
    </row>
    <row r="43" spans="1:10" x14ac:dyDescent="0.25">
      <c r="A43" t="s">
        <v>54</v>
      </c>
      <c r="B43">
        <f>B41</f>
        <v>1000</v>
      </c>
      <c r="C43">
        <v>0</v>
      </c>
      <c r="D43">
        <f>B43*(1+C43/100)</f>
        <v>1000</v>
      </c>
      <c r="E43" t="s">
        <v>54</v>
      </c>
      <c r="F43">
        <f>F41</f>
        <v>487</v>
      </c>
      <c r="G43">
        <v>0</v>
      </c>
      <c r="H43">
        <f>F43*(1+G43/100)</f>
        <v>487</v>
      </c>
    </row>
    <row r="44" spans="1:10" x14ac:dyDescent="0.25">
      <c r="A44" t="s">
        <v>55</v>
      </c>
      <c r="B44">
        <v>510</v>
      </c>
      <c r="C44">
        <v>0</v>
      </c>
      <c r="D44">
        <f>B44*(1+C44/100)</f>
        <v>510</v>
      </c>
      <c r="E44" t="s">
        <v>55</v>
      </c>
      <c r="F44">
        <v>1000</v>
      </c>
      <c r="G44">
        <v>0</v>
      </c>
      <c r="H44">
        <f>F44*(1+G44/100)</f>
        <v>1000</v>
      </c>
    </row>
    <row r="45" spans="1:10" x14ac:dyDescent="0.25">
      <c r="A45" t="s">
        <v>56</v>
      </c>
      <c r="B45" s="5">
        <v>2.0000000000000001E-9</v>
      </c>
      <c r="C45">
        <v>0</v>
      </c>
      <c r="D45">
        <f>B45*(1+C45/100)</f>
        <v>2.0000000000000001E-9</v>
      </c>
      <c r="E45" t="s">
        <v>56</v>
      </c>
      <c r="F45" s="5">
        <v>1.4999999999999999E-8</v>
      </c>
      <c r="G45">
        <v>0</v>
      </c>
      <c r="H45">
        <f>F45*(1+G45/100)</f>
        <v>1.4999999999999999E-8</v>
      </c>
    </row>
    <row r="47" spans="1:10" x14ac:dyDescent="0.25">
      <c r="A47" t="s">
        <v>46</v>
      </c>
      <c r="B47">
        <f>D41*D43*D42*D45</f>
        <v>3E-10</v>
      </c>
      <c r="E47" t="s">
        <v>46</v>
      </c>
      <c r="F47">
        <f>H41*H43*H42*H45</f>
        <v>3.5575349999999996E-10</v>
      </c>
    </row>
    <row r="48" spans="1:10" x14ac:dyDescent="0.25">
      <c r="A48" t="s">
        <v>47</v>
      </c>
      <c r="B48">
        <f>D43*D45+D41*D45+D41*D43*D45/D44</f>
        <v>7.9215686274509801E-6</v>
      </c>
      <c r="E48" t="s">
        <v>47</v>
      </c>
      <c r="F48">
        <f>H43*H45+H41*H45+H41*H43*H45/H44</f>
        <v>1.8167534999999997E-5</v>
      </c>
    </row>
    <row r="49" spans="1:6" x14ac:dyDescent="0.25">
      <c r="A49" t="s">
        <v>48</v>
      </c>
      <c r="B49">
        <f>D41/D44</f>
        <v>1.9607843137254901</v>
      </c>
      <c r="E49" t="s">
        <v>48</v>
      </c>
      <c r="F49">
        <f>H41/H44</f>
        <v>0.48699999999999999</v>
      </c>
    </row>
    <row r="51" spans="1:6" x14ac:dyDescent="0.25">
      <c r="A51" t="s">
        <v>63</v>
      </c>
      <c r="B51">
        <f>-D44/D41</f>
        <v>-0.51</v>
      </c>
      <c r="E51" t="s">
        <v>63</v>
      </c>
      <c r="F51">
        <f>-H44/H41</f>
        <v>-2.0533880903490758</v>
      </c>
    </row>
    <row r="52" spans="1:6" x14ac:dyDescent="0.25">
      <c r="A52" t="s">
        <v>26</v>
      </c>
      <c r="B52" s="5">
        <f>SQRT(D43*D44*D42*D45)/((D44+D43+ABS(B51)*D43)*D45)</f>
        <v>3.0617120982309358</v>
      </c>
      <c r="E52" t="s">
        <v>26</v>
      </c>
      <c r="F52" s="5">
        <f>SQRT(H43*H44*H42*H45)/((H44+H43+ABS(F51)*H43)*H45)</f>
        <v>0.7245078006561898</v>
      </c>
    </row>
    <row r="53" spans="1:6" x14ac:dyDescent="0.25">
      <c r="A53" t="s">
        <v>64</v>
      </c>
      <c r="B53">
        <f>1/(2*PI()*SQRT(D43*D44*D42*D45))</f>
        <v>12866.914533471612</v>
      </c>
      <c r="E53" t="s">
        <v>64</v>
      </c>
      <c r="F53">
        <f>1/(2*PI()*SQRT(H43*H44*H42*H45))</f>
        <v>5888.5724329875857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2017-02-21T03:05:40Z</dcterms:modified>
</cp:coreProperties>
</file>