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3028" windowHeight="12816" activeTab="0"/>
  </bookViews>
  <sheets>
    <sheet name="Mold QC" sheetId="1" r:id="rId1"/>
    <sheet name="Lip Balm QC" sheetId="2" r:id="rId2"/>
    <sheet name="Displacement Factor Method" sheetId="3" r:id="rId3"/>
  </sheets>
  <definedNames>
    <definedName name="_xlnm.Print_Area" localSheetId="2">'Displacement Factor Method'!$A$1:$K$18</definedName>
    <definedName name="_xlnm.Print_Area" localSheetId="1">'Lip Balm QC'!$A$1:$H$28</definedName>
    <definedName name="_xlnm.Print_Area" localSheetId="0">'Mold QC'!$A$1:$H$50</definedName>
  </definedNames>
  <calcPr fullCalcOnLoad="1"/>
</workbook>
</file>

<file path=xl/sharedStrings.xml><?xml version="1.0" encoding="utf-8"?>
<sst xmlns="http://schemas.openxmlformats.org/spreadsheetml/2006/main" count="122" uniqueCount="87">
  <si>
    <t>Excipient 1</t>
  </si>
  <si>
    <t>Excipient 2</t>
  </si>
  <si>
    <t>Excipient 3</t>
  </si>
  <si>
    <t>Drug</t>
  </si>
  <si>
    <t>Total</t>
  </si>
  <si>
    <t>mass (g)</t>
  </si>
  <si>
    <t>Batch</t>
  </si>
  <si>
    <t>mg</t>
  </si>
  <si>
    <t>g</t>
  </si>
  <si>
    <t>Proposed Batch:</t>
  </si>
  <si>
    <t>Units</t>
  </si>
  <si>
    <t>Comment</t>
  </si>
  <si>
    <t>Excipient 4</t>
  </si>
  <si>
    <t>Excipient 5</t>
  </si>
  <si>
    <t>Excipient 6</t>
  </si>
  <si>
    <t>units</t>
  </si>
  <si>
    <t>Base</t>
  </si>
  <si>
    <t>Displacement</t>
  </si>
  <si>
    <t>Factor (1 to ignore)</t>
  </si>
  <si>
    <t>Include a margin to account for losses in compounding.</t>
  </si>
  <si>
    <t>Equivalent Mass</t>
  </si>
  <si>
    <t>of Base (g)</t>
  </si>
  <si>
    <t>Formulation Strength:</t>
  </si>
  <si>
    <t>Mold Formulating Worksheet</t>
  </si>
  <si>
    <t># Units to Compound:</t>
  </si>
  <si>
    <t>Mass in</t>
  </si>
  <si>
    <r>
      <t>1 Unit (</t>
    </r>
    <r>
      <rPr>
        <b/>
        <sz val="11"/>
        <color indexed="8"/>
        <rFont val="Calibri"/>
        <family val="2"/>
      </rPr>
      <t>m</t>
    </r>
    <r>
      <rPr>
        <b/>
        <sz val="11"/>
        <color indexed="8"/>
        <rFont val="Calibri"/>
        <family val="2"/>
      </rPr>
      <t>g)</t>
    </r>
  </si>
  <si>
    <t>This is a design criteria. How much drug is in one unit?</t>
  </si>
  <si>
    <t>Preparation Name:</t>
  </si>
  <si>
    <t>Compounder:</t>
  </si>
  <si>
    <t>Date/Time:</t>
  </si>
  <si>
    <t xml:space="preserve">QC Pass/Fail?:  </t>
  </si>
  <si>
    <t>=100% * (Actual - Theoretical)/Theoretical</t>
  </si>
  <si>
    <t>=100% * STDEV/AVG</t>
  </si>
  <si>
    <t>USP 795:</t>
  </si>
  <si>
    <t>http://www.pharmacopeia.cn/v29240/usp29nf24s0_c795.html</t>
  </si>
  <si>
    <t>This method was adapted from PCCA  C3 Formula Pack - Comprehensive Compounding Course 2010©.</t>
  </si>
  <si>
    <t>Theoretical Medicated Unit Weight:</t>
  </si>
  <si>
    <t>Placebo 1</t>
  </si>
  <si>
    <t>Placebo 2</t>
  </si>
  <si>
    <t>Placebo 3</t>
  </si>
  <si>
    <t>Placebo 4</t>
  </si>
  <si>
    <t>%RSD</t>
  </si>
  <si>
    <t>Final Unit 1</t>
  </si>
  <si>
    <t>Final Unit 6</t>
  </si>
  <si>
    <t>Final Unit 2</t>
  </si>
  <si>
    <t>Final Unit 7</t>
  </si>
  <si>
    <t>Final Unit 3</t>
  </si>
  <si>
    <t>Final Unit 8</t>
  </si>
  <si>
    <t>Final Unit 4</t>
  </si>
  <si>
    <t>Final Unit 9</t>
  </si>
  <si>
    <t>Final Unit 5</t>
  </si>
  <si>
    <t>Final Unit 10</t>
  </si>
  <si>
    <t>Minimum Theoretical Unit Weight:</t>
  </si>
  <si>
    <t>g   (=Theoretical Unit weight * 0.9)</t>
  </si>
  <si>
    <t>Maximum Theoretical Unit Weight:</t>
  </si>
  <si>
    <t>g   (=Theoretical Unit weight * 1.1)</t>
  </si>
  <si>
    <t>(PASS if Average Unit weight within 90-110% of theoretical limits)</t>
  </si>
  <si>
    <t>Unit Weight Deviation: (Target: &lt;2%)</t>
  </si>
  <si>
    <t>Mold Filling Worksheet: Quality Control</t>
  </si>
  <si>
    <t>Average Placebo Weight</t>
  </si>
  <si>
    <t>Calculated Displacement Factor:</t>
  </si>
  <si>
    <t>Theoretical Final Weight</t>
  </si>
  <si>
    <t>mg (mass of drug in one unit)</t>
  </si>
  <si>
    <t>Average Placebo Weight:</t>
  </si>
  <si>
    <t>Measured by calibrating mold with vehicle.</t>
  </si>
  <si>
    <t>Average of 5 Placebos</t>
  </si>
  <si>
    <t>Placebo 5</t>
  </si>
  <si>
    <t>Weight Coefficient of Variation: (%RSD)</t>
  </si>
  <si>
    <t>Standard Deviation: (STDEV)</t>
  </si>
  <si>
    <t>Weights of Randomly-Selected Compounded Units</t>
  </si>
  <si>
    <t>STDEV</t>
  </si>
  <si>
    <t xml:space="preserve">70 mg hydrocortisone/150 mg lidocaine lip balm </t>
  </si>
  <si>
    <t>Weight of Empty  Lip Balm Casing (no cap)</t>
  </si>
  <si>
    <t>Weight of Compounded Unit (no cap)</t>
  </si>
  <si>
    <t>Net Formulation Weight</t>
  </si>
  <si>
    <t>g (based on previous experimental data)</t>
  </si>
  <si>
    <t xml:space="preserve"> (Enter "PASS" or "FAIL" in this box)</t>
  </si>
  <si>
    <t>Mold Filling Worksheet: Lip Balm (Double Casting Method)</t>
  </si>
  <si>
    <t>Unit 1</t>
  </si>
  <si>
    <t>Unit 2</t>
  </si>
  <si>
    <t>g   (=Theoretical Unit weight * 90%)</t>
  </si>
  <si>
    <t>g   (=Theoretical Unit weight * 110%)</t>
  </si>
  <si>
    <t>Theoretical Unit Weight:</t>
  </si>
  <si>
    <t>(PASS if Net Formulation Weight within 90-110% of theoretical unit weight)</t>
  </si>
  <si>
    <t>% (=100 * (Actual - Theoretical)/Theoretical)</t>
  </si>
  <si>
    <t>Actual Number of Units Compounded: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</si>
</sst>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6"/>
      <color indexed="8"/>
      <name val="Calibri"/>
      <family val="2"/>
    </font>
    <font>
      <sz val="11"/>
      <color indexed="40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7"/>
      <name val="Calibri"/>
      <family val="2"/>
    </font>
    <font>
      <b/>
      <u val="single"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B0F0"/>
      <name val="Calibri"/>
      <family val="2"/>
    </font>
    <font>
      <sz val="10"/>
      <color theme="1"/>
      <name val="Calibri"/>
      <family val="2"/>
    </font>
    <font>
      <sz val="11"/>
      <color theme="4" tint="-0.24997000396251678"/>
      <name val="Calibri"/>
      <family val="2"/>
    </font>
    <font>
      <b/>
      <i/>
      <sz val="11"/>
      <color theme="1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 horizontal="right"/>
    </xf>
    <xf numFmtId="9" fontId="0" fillId="33" borderId="0" xfId="59" applyFont="1" applyFill="1" applyAlignment="1">
      <alignment/>
    </xf>
    <xf numFmtId="9" fontId="0" fillId="33" borderId="0" xfId="0" applyNumberFormat="1" applyFill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9" fontId="47" fillId="33" borderId="0" xfId="59" applyFont="1" applyFill="1" applyBorder="1" applyAlignment="1">
      <alignment/>
    </xf>
    <xf numFmtId="172" fontId="47" fillId="33" borderId="0" xfId="0" applyNumberFormat="1" applyFont="1" applyFill="1" applyBorder="1" applyAlignment="1">
      <alignment/>
    </xf>
    <xf numFmtId="0" fontId="48" fillId="33" borderId="0" xfId="0" applyFont="1" applyFill="1" applyAlignment="1">
      <alignment vertical="top"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10" fontId="47" fillId="33" borderId="0" xfId="0" applyNumberFormat="1" applyFont="1" applyFill="1" applyBorder="1" applyAlignment="1">
      <alignment/>
    </xf>
    <xf numFmtId="172" fontId="49" fillId="33" borderId="0" xfId="0" applyNumberFormat="1" applyFont="1" applyFill="1" applyBorder="1" applyAlignment="1">
      <alignment/>
    </xf>
    <xf numFmtId="172" fontId="4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right"/>
    </xf>
    <xf numFmtId="2" fontId="49" fillId="33" borderId="0" xfId="0" applyNumberFormat="1" applyFont="1" applyFill="1" applyBorder="1" applyAlignment="1">
      <alignment/>
    </xf>
    <xf numFmtId="22" fontId="0" fillId="33" borderId="0" xfId="0" applyNumberFormat="1" applyFill="1" applyAlignment="1">
      <alignment vertical="top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0" xfId="0" applyFont="1" applyFill="1" applyAlignment="1" applyProtection="1">
      <alignment/>
      <protection locked="0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2" fontId="47" fillId="33" borderId="0" xfId="0" applyNumberFormat="1" applyFont="1" applyFill="1" applyAlignment="1">
      <alignment/>
    </xf>
    <xf numFmtId="173" fontId="47" fillId="33" borderId="12" xfId="0" applyNumberFormat="1" applyFont="1" applyFill="1" applyBorder="1" applyAlignment="1">
      <alignment/>
    </xf>
    <xf numFmtId="2" fontId="47" fillId="33" borderId="12" xfId="0" applyNumberFormat="1" applyFont="1" applyFill="1" applyBorder="1" applyAlignment="1">
      <alignment/>
    </xf>
    <xf numFmtId="2" fontId="50" fillId="33" borderId="0" xfId="0" applyNumberFormat="1" applyFont="1" applyFill="1" applyAlignment="1">
      <alignment/>
    </xf>
    <xf numFmtId="173" fontId="50" fillId="33" borderId="12" xfId="0" applyNumberFormat="1" applyFont="1" applyFill="1" applyBorder="1" applyAlignment="1">
      <alignment/>
    </xf>
    <xf numFmtId="0" fontId="47" fillId="33" borderId="0" xfId="0" applyFont="1" applyFill="1" applyAlignment="1" applyProtection="1">
      <alignment/>
      <protection locked="0"/>
    </xf>
    <xf numFmtId="22" fontId="52" fillId="33" borderId="0" xfId="0" applyNumberFormat="1" applyFont="1" applyFill="1" applyAlignment="1">
      <alignment horizontal="left"/>
    </xf>
    <xf numFmtId="0" fontId="53" fillId="33" borderId="0" xfId="0" applyFont="1" applyFill="1" applyAlignment="1">
      <alignment/>
    </xf>
    <xf numFmtId="180" fontId="47" fillId="33" borderId="0" xfId="59" applyNumberFormat="1" applyFont="1" applyFill="1" applyAlignment="1">
      <alignment/>
    </xf>
    <xf numFmtId="0" fontId="0" fillId="33" borderId="0" xfId="0" applyFill="1" applyAlignment="1" quotePrefix="1">
      <alignment/>
    </xf>
    <xf numFmtId="0" fontId="39" fillId="33" borderId="0" xfId="53" applyFill="1" applyAlignment="1">
      <alignment/>
    </xf>
    <xf numFmtId="174" fontId="47" fillId="33" borderId="0" xfId="0" applyNumberFormat="1" applyFont="1" applyFill="1" applyAlignment="1">
      <alignment/>
    </xf>
    <xf numFmtId="174" fontId="49" fillId="33" borderId="10" xfId="0" applyNumberFormat="1" applyFont="1" applyFill="1" applyBorder="1" applyAlignment="1" applyProtection="1">
      <alignment/>
      <protection locked="0"/>
    </xf>
    <xf numFmtId="2" fontId="47" fillId="33" borderId="0" xfId="59" applyNumberFormat="1" applyFont="1" applyFill="1" applyAlignment="1">
      <alignment/>
    </xf>
    <xf numFmtId="10" fontId="47" fillId="33" borderId="0" xfId="59" applyNumberFormat="1" applyFont="1" applyFill="1" applyAlignment="1">
      <alignment/>
    </xf>
    <xf numFmtId="0" fontId="0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Alignment="1">
      <alignment/>
    </xf>
    <xf numFmtId="174" fontId="53" fillId="33" borderId="0" xfId="0" applyNumberFormat="1" applyFont="1" applyFill="1" applyAlignment="1">
      <alignment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40</xdr:row>
      <xdr:rowOff>0</xdr:rowOff>
    </xdr:from>
    <xdr:to>
      <xdr:col>7</xdr:col>
      <xdr:colOff>266700</xdr:colOff>
      <xdr:row>47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762875"/>
          <a:ext cx="6019800" cy="14287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>
    <xdr:from>
      <xdr:col>4</xdr:col>
      <xdr:colOff>285750</xdr:colOff>
      <xdr:row>10</xdr:row>
      <xdr:rowOff>180975</xdr:rowOff>
    </xdr:from>
    <xdr:to>
      <xdr:col>7</xdr:col>
      <xdr:colOff>142875</xdr:colOff>
      <xdr:row>19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00475" y="2152650"/>
          <a:ext cx="2181225" cy="1562100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OVERWRITE or DELETE all 999 values.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successive measurements, you do not need to remove the previous unit(s) from the scale. Simply re-tare the scale, and measure the next unit.</a:t>
          </a:r>
        </a:p>
      </xdr:txBody>
    </xdr:sp>
    <xdr:clientData fPrintsWithSheet="0"/>
  </xdr:twoCellAnchor>
  <xdr:twoCellAnchor>
    <xdr:from>
      <xdr:col>1</xdr:col>
      <xdr:colOff>38100</xdr:colOff>
      <xdr:row>22</xdr:row>
      <xdr:rowOff>95250</xdr:rowOff>
    </xdr:from>
    <xdr:to>
      <xdr:col>1</xdr:col>
      <xdr:colOff>1123950</xdr:colOff>
      <xdr:row>28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4300" y="4314825"/>
          <a:ext cx="1085850" cy="111442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Delete cell values for scripts less than 10 units.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19</xdr:row>
      <xdr:rowOff>0</xdr:rowOff>
    </xdr:from>
    <xdr:to>
      <xdr:col>7</xdr:col>
      <xdr:colOff>66675</xdr:colOff>
      <xdr:row>26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657600"/>
          <a:ext cx="6019800" cy="14287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>
    <xdr:from>
      <xdr:col>8</xdr:col>
      <xdr:colOff>38100</xdr:colOff>
      <xdr:row>5</xdr:row>
      <xdr:rowOff>57150</xdr:rowOff>
    </xdr:from>
    <xdr:to>
      <xdr:col>11</xdr:col>
      <xdr:colOff>390525</xdr:colOff>
      <xdr:row>12</xdr:row>
      <xdr:rowOff>171450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391275" y="1076325"/>
          <a:ext cx="2181225" cy="143827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OVERWRITE or DELETE all 999 values.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successive measurements, you do not need to remove the previous unit(s) from the scale. Simply re-tare the scale, and measure the next unit.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352425</xdr:rowOff>
    </xdr:from>
    <xdr:to>
      <xdr:col>7</xdr:col>
      <xdr:colOff>304800</xdr:colOff>
      <xdr:row>0</xdr:row>
      <xdr:rowOff>1381125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61950" y="352425"/>
          <a:ext cx="5105400" cy="1028700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Method: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Enter the formulation strength, average blank weight, and tablet mass below.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can change the "Drug", "Excipient", and "Base" labels in Column B to their actual names.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Enter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density factors and desired mass per suppository of each ingredient.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342900</xdr:colOff>
      <xdr:row>18</xdr:row>
      <xdr:rowOff>76200</xdr:rowOff>
    </xdr:from>
    <xdr:to>
      <xdr:col>5</xdr:col>
      <xdr:colOff>28575</xdr:colOff>
      <xdr:row>22</xdr:row>
      <xdr:rowOff>76200</xdr:rowOff>
    </xdr:to>
    <xdr:sp>
      <xdr:nvSpPr>
        <xdr:cNvPr id="2" name="Up Arrow 1"/>
        <xdr:cNvSpPr>
          <a:spLocks/>
        </xdr:cNvSpPr>
      </xdr:nvSpPr>
      <xdr:spPr>
        <a:xfrm>
          <a:off x="3629025" y="4752975"/>
          <a:ext cx="381000" cy="752475"/>
        </a:xfrm>
        <a:prstGeom prst="upArrow">
          <a:avLst>
            <a:gd name="adj" fmla="val -25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23</xdr:row>
      <xdr:rowOff>19050</xdr:rowOff>
    </xdr:from>
    <xdr:to>
      <xdr:col>5</xdr:col>
      <xdr:colOff>304800</xdr:colOff>
      <xdr:row>27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29000" y="5638800"/>
          <a:ext cx="8572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this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column to compound your batch.</a:t>
          </a:r>
        </a:p>
      </xdr:txBody>
    </xdr:sp>
    <xdr:clientData/>
  </xdr:twoCellAnchor>
  <xdr:twoCellAnchor editAs="oneCell">
    <xdr:from>
      <xdr:col>1</xdr:col>
      <xdr:colOff>0</xdr:colOff>
      <xdr:row>28</xdr:row>
      <xdr:rowOff>28575</xdr:rowOff>
    </xdr:from>
    <xdr:to>
      <xdr:col>6</xdr:col>
      <xdr:colOff>47625</xdr:colOff>
      <xdr:row>51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l="33804" t="31439" r="42306" b="27691"/>
        <a:stretch>
          <a:fillRect/>
        </a:stretch>
      </xdr:blipFill>
      <xdr:spPr>
        <a:xfrm>
          <a:off x="361950" y="6591300"/>
          <a:ext cx="4257675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copeia.cn/v29240/usp29nf24s0_c795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copeia.cn/v29240/usp29nf24s0_c795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B1:H50"/>
  <sheetViews>
    <sheetView tabSelected="1" zoomScalePageLayoutView="0" workbookViewId="0" topLeftCell="A1">
      <selection activeCell="C3" sqref="C3:F3"/>
    </sheetView>
  </sheetViews>
  <sheetFormatPr defaultColWidth="9.140625" defaultRowHeight="15"/>
  <cols>
    <col min="1" max="1" width="1.1484375" style="1" customWidth="1"/>
    <col min="2" max="2" width="18.57421875" style="1" customWidth="1"/>
    <col min="3" max="3" width="23.8515625" style="1" customWidth="1"/>
    <col min="4" max="5" width="9.140625" style="1" customWidth="1"/>
    <col min="6" max="6" width="16.57421875" style="1" customWidth="1"/>
    <col min="7" max="7" width="9.140625" style="1" customWidth="1"/>
    <col min="8" max="8" width="4.7109375" style="1" customWidth="1"/>
    <col min="9" max="16384" width="9.140625" style="1" customWidth="1"/>
  </cols>
  <sheetData>
    <row r="1" ht="21">
      <c r="B1" s="10" t="s">
        <v>59</v>
      </c>
    </row>
    <row r="2" ht="15" thickBot="1"/>
    <row r="3" spans="2:6" ht="15" thickBot="1">
      <c r="B3" s="1" t="s">
        <v>28</v>
      </c>
      <c r="C3" s="46"/>
      <c r="D3" s="47"/>
      <c r="E3" s="47"/>
      <c r="F3" s="48"/>
    </row>
    <row r="4" spans="2:6" ht="15" thickBot="1">
      <c r="B4" s="1" t="s">
        <v>29</v>
      </c>
      <c r="C4" s="46"/>
      <c r="D4" s="47"/>
      <c r="E4" s="47"/>
      <c r="F4" s="48"/>
    </row>
    <row r="5" spans="2:3" ht="14.25">
      <c r="B5" s="1" t="s">
        <v>30</v>
      </c>
      <c r="C5" s="30">
        <f ca="1">NOW()</f>
        <v>43378.472348958334</v>
      </c>
    </row>
    <row r="7" ht="15" thickBot="1">
      <c r="B7" s="31" t="s">
        <v>62</v>
      </c>
    </row>
    <row r="8" spans="2:5" ht="15" thickBot="1">
      <c r="B8" s="1" t="s">
        <v>22</v>
      </c>
      <c r="D8" s="19">
        <v>999</v>
      </c>
      <c r="E8" s="1" t="s">
        <v>63</v>
      </c>
    </row>
    <row r="9" spans="2:5" ht="15" thickBot="1">
      <c r="B9" s="1" t="s">
        <v>86</v>
      </c>
      <c r="D9" s="19">
        <v>999</v>
      </c>
      <c r="E9" s="1" t="s">
        <v>15</v>
      </c>
    </row>
    <row r="10" spans="2:5" ht="15" thickBot="1">
      <c r="B10" s="1" t="s">
        <v>37</v>
      </c>
      <c r="D10" s="36">
        <v>999</v>
      </c>
      <c r="E10" s="1" t="s">
        <v>8</v>
      </c>
    </row>
    <row r="12" ht="15" thickBot="1">
      <c r="B12" s="31" t="s">
        <v>60</v>
      </c>
    </row>
    <row r="13" spans="3:5" ht="15" thickBot="1">
      <c r="C13" s="1" t="s">
        <v>38</v>
      </c>
      <c r="D13" s="19">
        <v>999</v>
      </c>
      <c r="E13" s="1" t="s">
        <v>8</v>
      </c>
    </row>
    <row r="14" spans="3:5" ht="15" thickBot="1">
      <c r="C14" s="1" t="s">
        <v>39</v>
      </c>
      <c r="D14" s="19">
        <v>999</v>
      </c>
      <c r="E14" s="1" t="s">
        <v>8</v>
      </c>
    </row>
    <row r="15" spans="3:5" ht="15" thickBot="1">
      <c r="C15" s="1" t="s">
        <v>40</v>
      </c>
      <c r="D15" s="19">
        <v>999</v>
      </c>
      <c r="E15" s="1" t="s">
        <v>8</v>
      </c>
    </row>
    <row r="16" spans="3:5" ht="15" thickBot="1">
      <c r="C16" s="1" t="s">
        <v>41</v>
      </c>
      <c r="D16" s="19">
        <v>999</v>
      </c>
      <c r="E16" s="1" t="s">
        <v>8</v>
      </c>
    </row>
    <row r="17" spans="3:5" ht="15" thickBot="1">
      <c r="C17" s="1" t="s">
        <v>67</v>
      </c>
      <c r="D17" s="19">
        <v>999</v>
      </c>
      <c r="E17" s="1" t="s">
        <v>8</v>
      </c>
    </row>
    <row r="18" spans="3:5" ht="14.25">
      <c r="C18" s="2" t="s">
        <v>66</v>
      </c>
      <c r="D18" s="35">
        <f>AVERAGE(D13:D17)</f>
        <v>999</v>
      </c>
      <c r="E18" s="1" t="s">
        <v>8</v>
      </c>
    </row>
    <row r="19" spans="3:5" ht="14.25">
      <c r="C19" s="39" t="s">
        <v>71</v>
      </c>
      <c r="D19" s="35">
        <f>STDEV(D13:D17)</f>
        <v>0</v>
      </c>
      <c r="E19" s="1" t="s">
        <v>8</v>
      </c>
    </row>
    <row r="20" spans="3:4" ht="14.25">
      <c r="C20" s="1" t="s">
        <v>42</v>
      </c>
      <c r="D20" s="38">
        <f>STDEV(D13:D17)/D18</f>
        <v>0</v>
      </c>
    </row>
    <row r="21" spans="2:4" ht="14.25">
      <c r="B21" s="31"/>
      <c r="D21" s="7"/>
    </row>
    <row r="22" ht="15" thickBot="1">
      <c r="B22" s="31" t="s">
        <v>70</v>
      </c>
    </row>
    <row r="23" spans="3:8" ht="15" thickBot="1">
      <c r="C23" s="1" t="s">
        <v>43</v>
      </c>
      <c r="D23" s="19">
        <v>999</v>
      </c>
      <c r="E23" s="1" t="s">
        <v>8</v>
      </c>
      <c r="F23" s="1" t="s">
        <v>44</v>
      </c>
      <c r="G23" s="19">
        <v>999</v>
      </c>
      <c r="H23" s="1" t="s">
        <v>8</v>
      </c>
    </row>
    <row r="24" spans="3:8" ht="15" thickBot="1">
      <c r="C24" s="1" t="s">
        <v>45</v>
      </c>
      <c r="D24" s="19">
        <v>999</v>
      </c>
      <c r="E24" s="1" t="s">
        <v>8</v>
      </c>
      <c r="F24" s="1" t="s">
        <v>46</v>
      </c>
      <c r="G24" s="19">
        <v>999</v>
      </c>
      <c r="H24" s="1" t="s">
        <v>8</v>
      </c>
    </row>
    <row r="25" spans="3:8" ht="15" thickBot="1">
      <c r="C25" s="1" t="s">
        <v>47</v>
      </c>
      <c r="D25" s="19">
        <v>999</v>
      </c>
      <c r="E25" s="1" t="s">
        <v>8</v>
      </c>
      <c r="F25" s="1" t="s">
        <v>48</v>
      </c>
      <c r="G25" s="19">
        <v>999</v>
      </c>
      <c r="H25" s="1" t="s">
        <v>8</v>
      </c>
    </row>
    <row r="26" spans="3:8" ht="15" thickBot="1">
      <c r="C26" s="1" t="s">
        <v>49</v>
      </c>
      <c r="D26" s="19">
        <v>999</v>
      </c>
      <c r="E26" s="1" t="s">
        <v>8</v>
      </c>
      <c r="F26" s="1" t="s">
        <v>50</v>
      </c>
      <c r="G26" s="19">
        <v>999</v>
      </c>
      <c r="H26" s="1" t="s">
        <v>8</v>
      </c>
    </row>
    <row r="27" spans="3:8" ht="15" thickBot="1">
      <c r="C27" s="1" t="s">
        <v>51</v>
      </c>
      <c r="D27" s="19">
        <v>999</v>
      </c>
      <c r="E27" s="1" t="s">
        <v>8</v>
      </c>
      <c r="F27" s="1" t="s">
        <v>52</v>
      </c>
      <c r="G27" s="19">
        <v>999</v>
      </c>
      <c r="H27" s="1" t="s">
        <v>8</v>
      </c>
    </row>
    <row r="28" spans="3:5" ht="14.25">
      <c r="C28" s="2" t="str">
        <f>"Average of "&amp;COUNTA(D23:D27,G23:G27)&amp;" Units"</f>
        <v>Average of 10 Units</v>
      </c>
      <c r="D28" s="7">
        <f>AVERAGE(D23:D27,G23:G27)</f>
        <v>999</v>
      </c>
      <c r="E28" s="1" t="s">
        <v>8</v>
      </c>
    </row>
    <row r="30" spans="2:5" ht="14.25">
      <c r="B30" s="1" t="s">
        <v>58</v>
      </c>
      <c r="D30" s="32">
        <f>($D$28-$D$10)/$D$10</f>
        <v>0</v>
      </c>
      <c r="E30" s="33" t="s">
        <v>32</v>
      </c>
    </row>
    <row r="31" spans="2:5" ht="14.25">
      <c r="B31" s="1" t="s">
        <v>69</v>
      </c>
      <c r="D31" s="7">
        <f>STDEV(D23:D27,G23:G27)</f>
        <v>0</v>
      </c>
      <c r="E31" s="1" t="s">
        <v>8</v>
      </c>
    </row>
    <row r="32" spans="2:5" ht="14.25">
      <c r="B32" s="1" t="s">
        <v>68</v>
      </c>
      <c r="D32" s="32">
        <f>STDEV(D23:D27,G23:G27)/D28</f>
        <v>0</v>
      </c>
      <c r="E32" s="33" t="s">
        <v>33</v>
      </c>
    </row>
    <row r="33" spans="4:5" ht="14.25">
      <c r="D33" s="32"/>
      <c r="E33" s="33"/>
    </row>
    <row r="34" spans="2:5" ht="14.25">
      <c r="B34" s="1" t="s">
        <v>53</v>
      </c>
      <c r="D34" s="7">
        <f>0.9*D10</f>
        <v>899.1</v>
      </c>
      <c r="E34" s="1" t="s">
        <v>54</v>
      </c>
    </row>
    <row r="35" spans="2:5" ht="14.25">
      <c r="B35" s="1" t="s">
        <v>55</v>
      </c>
      <c r="D35" s="7">
        <f>1.1*D10</f>
        <v>1098.9</v>
      </c>
      <c r="E35" s="1" t="s">
        <v>56</v>
      </c>
    </row>
    <row r="36" spans="3:4" ht="14.25">
      <c r="C36" s="3" t="s">
        <v>31</v>
      </c>
      <c r="D36" s="2" t="str">
        <f>IF(AND(D28&gt;=D34,D28&lt;=D35),"PASS","FAIL")</f>
        <v>PASS</v>
      </c>
    </row>
    <row r="37" ht="14.25">
      <c r="C37" s="1" t="s">
        <v>57</v>
      </c>
    </row>
    <row r="39" spans="2:5" ht="14.25">
      <c r="B39" s="1" t="s">
        <v>61</v>
      </c>
      <c r="D39" s="37">
        <f>($D$8/1000)/($D$18-$D$28+($D$8/1000))</f>
        <v>1</v>
      </c>
      <c r="E39" s="33"/>
    </row>
    <row r="40" ht="31.5" customHeight="1">
      <c r="B40" s="2" t="s">
        <v>34</v>
      </c>
    </row>
    <row r="41" ht="15"/>
    <row r="42" ht="15"/>
    <row r="43" ht="15"/>
    <row r="44" ht="15"/>
    <row r="45" ht="15"/>
    <row r="46" ht="15"/>
    <row r="47" ht="15"/>
    <row r="48" ht="15"/>
    <row r="49" ht="14.25">
      <c r="B49" s="34" t="s">
        <v>35</v>
      </c>
    </row>
    <row r="50" ht="14.25">
      <c r="B50" s="23" t="s">
        <v>36</v>
      </c>
    </row>
  </sheetData>
  <sheetProtection sheet="1"/>
  <mergeCells count="2">
    <mergeCell ref="C3:F3"/>
    <mergeCell ref="C4:F4"/>
  </mergeCells>
  <conditionalFormatting sqref="D36">
    <cfRule type="cellIs" priority="5" dxfId="18" operator="equal" stopIfTrue="1">
      <formula>"FAIL"</formula>
    </cfRule>
    <cfRule type="cellIs" priority="6" dxfId="19" operator="equal" stopIfTrue="1">
      <formula>"PASS"</formula>
    </cfRule>
  </conditionalFormatting>
  <conditionalFormatting sqref="D23:D27">
    <cfRule type="cellIs" priority="3" dxfId="0" operator="greaterThan" stopIfTrue="1">
      <formula>$D$35</formula>
    </cfRule>
    <cfRule type="cellIs" priority="4" dxfId="0" operator="lessThan" stopIfTrue="1">
      <formula>$D$34</formula>
    </cfRule>
  </conditionalFormatting>
  <conditionalFormatting sqref="G23:G27">
    <cfRule type="cellIs" priority="1" dxfId="0" operator="greaterThan" stopIfTrue="1">
      <formula>$D$35</formula>
    </cfRule>
    <cfRule type="cellIs" priority="2" dxfId="0" operator="lessThan" stopIfTrue="1">
      <formula>$D$34</formula>
    </cfRule>
  </conditionalFormatting>
  <hyperlinks>
    <hyperlink ref="B49" r:id="rId1" display="http://www.pharmacopeia.cn/v29240/usp29nf24s0_c795.html"/>
  </hyperlinks>
  <printOptions/>
  <pageMargins left="0.7" right="0.7" top="0.75" bottom="0.75" header="0.3" footer="0.3"/>
  <pageSetup fitToHeight="1" fitToWidth="1" horizontalDpi="600" verticalDpi="600" orientation="portrait" scale="8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B1:F29"/>
  <sheetViews>
    <sheetView zoomScalePageLayoutView="0" workbookViewId="0" topLeftCell="A1">
      <selection activeCell="C4" sqref="C4:F4"/>
    </sheetView>
  </sheetViews>
  <sheetFormatPr defaultColWidth="9.140625" defaultRowHeight="15"/>
  <cols>
    <col min="1" max="1" width="1.1484375" style="1" customWidth="1"/>
    <col min="2" max="2" width="18.57421875" style="1" customWidth="1"/>
    <col min="3" max="3" width="23.8515625" style="1" customWidth="1"/>
    <col min="4" max="4" width="11.00390625" style="1" bestFit="1" customWidth="1"/>
    <col min="5" max="5" width="10.28125" style="1" customWidth="1"/>
    <col min="6" max="6" width="16.57421875" style="1" customWidth="1"/>
    <col min="7" max="7" width="9.140625" style="1" customWidth="1"/>
    <col min="8" max="8" width="4.7109375" style="1" customWidth="1"/>
    <col min="9" max="16384" width="9.140625" style="1" customWidth="1"/>
  </cols>
  <sheetData>
    <row r="1" ht="21">
      <c r="B1" s="10" t="s">
        <v>78</v>
      </c>
    </row>
    <row r="3" spans="2:6" ht="15" thickBot="1">
      <c r="B3" s="1" t="s">
        <v>28</v>
      </c>
      <c r="C3" s="49" t="s">
        <v>72</v>
      </c>
      <c r="D3" s="49"/>
      <c r="E3" s="49"/>
      <c r="F3" s="49"/>
    </row>
    <row r="4" spans="2:6" ht="15" thickBot="1">
      <c r="B4" s="1" t="s">
        <v>29</v>
      </c>
      <c r="C4" s="46"/>
      <c r="D4" s="47"/>
      <c r="E4" s="47"/>
      <c r="F4" s="48"/>
    </row>
    <row r="5" spans="2:3" ht="14.25">
      <c r="B5" s="1" t="s">
        <v>30</v>
      </c>
      <c r="C5" s="30">
        <f ca="1">NOW()</f>
        <v>43378.472348958334</v>
      </c>
    </row>
    <row r="7" spans="2:5" ht="14.25">
      <c r="B7" s="31" t="s">
        <v>83</v>
      </c>
      <c r="D7" s="45">
        <v>4.14</v>
      </c>
      <c r="E7" s="1" t="s">
        <v>76</v>
      </c>
    </row>
    <row r="9" spans="4:5" ht="15" thickBot="1">
      <c r="D9" s="40" t="s">
        <v>79</v>
      </c>
      <c r="E9" s="40" t="s">
        <v>80</v>
      </c>
    </row>
    <row r="10" spans="2:6" ht="15" thickBot="1">
      <c r="B10" s="1" t="s">
        <v>73</v>
      </c>
      <c r="D10" s="19">
        <v>999</v>
      </c>
      <c r="E10" s="19">
        <v>999</v>
      </c>
      <c r="F10" s="1" t="s">
        <v>8</v>
      </c>
    </row>
    <row r="11" spans="2:6" ht="15" thickBot="1">
      <c r="B11" s="1" t="s">
        <v>74</v>
      </c>
      <c r="D11" s="19">
        <v>999</v>
      </c>
      <c r="E11" s="19">
        <v>999</v>
      </c>
      <c r="F11" s="1" t="s">
        <v>8</v>
      </c>
    </row>
    <row r="12" spans="2:6" ht="15" thickBot="1">
      <c r="B12" s="1" t="s">
        <v>75</v>
      </c>
      <c r="D12" s="19">
        <v>999</v>
      </c>
      <c r="E12" s="19">
        <v>999</v>
      </c>
      <c r="F12" s="1" t="s">
        <v>8</v>
      </c>
    </row>
    <row r="13" spans="4:5" ht="15" thickBot="1">
      <c r="D13" s="41"/>
      <c r="E13" s="41"/>
    </row>
    <row r="14" spans="2:6" ht="15" thickBot="1">
      <c r="B14" s="1" t="s">
        <v>58</v>
      </c>
      <c r="D14" s="19">
        <v>999</v>
      </c>
      <c r="E14" s="19">
        <v>999</v>
      </c>
      <c r="F14" s="33" t="s">
        <v>85</v>
      </c>
    </row>
    <row r="15" spans="2:6" ht="15" thickBot="1">
      <c r="B15" s="1" t="s">
        <v>53</v>
      </c>
      <c r="D15" s="19">
        <v>999</v>
      </c>
      <c r="E15" s="43"/>
      <c r="F15" s="1" t="s">
        <v>81</v>
      </c>
    </row>
    <row r="16" spans="2:6" ht="15" thickBot="1">
      <c r="B16" s="1" t="s">
        <v>55</v>
      </c>
      <c r="D16" s="19">
        <v>999</v>
      </c>
      <c r="E16" s="43"/>
      <c r="F16" s="1" t="s">
        <v>82</v>
      </c>
    </row>
    <row r="17" spans="3:6" ht="15" thickBot="1">
      <c r="C17" s="3" t="s">
        <v>31</v>
      </c>
      <c r="D17" s="42">
        <v>999</v>
      </c>
      <c r="E17" s="42">
        <v>999</v>
      </c>
      <c r="F17" s="1" t="s">
        <v>77</v>
      </c>
    </row>
    <row r="18" ht="14.25">
      <c r="C18" s="44" t="s">
        <v>84</v>
      </c>
    </row>
    <row r="19" ht="14.25">
      <c r="B19" s="2" t="s">
        <v>34</v>
      </c>
    </row>
    <row r="20" ht="15"/>
    <row r="21" ht="15"/>
    <row r="22" ht="15"/>
    <row r="23" ht="15"/>
    <row r="24" ht="15"/>
    <row r="25" ht="15"/>
    <row r="26" ht="15"/>
    <row r="27" ht="15"/>
    <row r="28" ht="14.25">
      <c r="B28" s="34" t="s">
        <v>35</v>
      </c>
    </row>
    <row r="29" ht="14.25">
      <c r="B29" s="23" t="s">
        <v>36</v>
      </c>
    </row>
  </sheetData>
  <sheetProtection sheet="1"/>
  <mergeCells count="2">
    <mergeCell ref="C3:F3"/>
    <mergeCell ref="C4:F4"/>
  </mergeCells>
  <conditionalFormatting sqref="D17">
    <cfRule type="cellIs" priority="11" dxfId="18" operator="equal" stopIfTrue="1">
      <formula>"FAIL"</formula>
    </cfRule>
    <cfRule type="cellIs" priority="12" dxfId="19" operator="equal" stopIfTrue="1">
      <formula>"PASS"</formula>
    </cfRule>
  </conditionalFormatting>
  <conditionalFormatting sqref="E17">
    <cfRule type="cellIs" priority="7" dxfId="18" operator="equal" stopIfTrue="1">
      <formula>"FAIL"</formula>
    </cfRule>
    <cfRule type="cellIs" priority="8" dxfId="19" operator="equal" stopIfTrue="1">
      <formula>"PASS"</formula>
    </cfRule>
  </conditionalFormatting>
  <conditionalFormatting sqref="E12">
    <cfRule type="cellIs" priority="9" dxfId="0" operator="greaterThan" stopIfTrue="1">
      <formula>'Lip Balm QC'!#REF!</formula>
    </cfRule>
    <cfRule type="cellIs" priority="10" dxfId="0" operator="lessThan" stopIfTrue="1">
      <formula>'Lip Balm QC'!#REF!</formula>
    </cfRule>
  </conditionalFormatting>
  <conditionalFormatting sqref="D12">
    <cfRule type="cellIs" priority="5" dxfId="0" operator="greaterThan" stopIfTrue="1">
      <formula>'Lip Balm QC'!#REF!</formula>
    </cfRule>
    <cfRule type="cellIs" priority="6" dxfId="0" operator="lessThan" stopIfTrue="1">
      <formula>'Lip Balm QC'!#REF!</formula>
    </cfRule>
  </conditionalFormatting>
  <conditionalFormatting sqref="E16">
    <cfRule type="cellIs" priority="3" dxfId="0" operator="greaterThan" stopIfTrue="1">
      <formula>'Lip Balm QC'!#REF!</formula>
    </cfRule>
    <cfRule type="cellIs" priority="4" dxfId="0" operator="lessThan" stopIfTrue="1">
      <formula>'Lip Balm QC'!#REF!</formula>
    </cfRule>
  </conditionalFormatting>
  <conditionalFormatting sqref="D16">
    <cfRule type="cellIs" priority="1" dxfId="0" operator="greaterThan" stopIfTrue="1">
      <formula>'Lip Balm QC'!#REF!</formula>
    </cfRule>
    <cfRule type="cellIs" priority="2" dxfId="0" operator="lessThan" stopIfTrue="1">
      <formula>'Lip Balm QC'!#REF!</formula>
    </cfRule>
  </conditionalFormatting>
  <hyperlinks>
    <hyperlink ref="B28" r:id="rId1" display="http://www.pharmacopeia.cn/v29240/usp29nf24s0_c795.html"/>
  </hyperlinks>
  <printOptions/>
  <pageMargins left="0.7" right="0.7" top="0.75" bottom="0.75" header="0.3" footer="0.3"/>
  <pageSetup fitToHeight="1" fitToWidth="1"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1:T32"/>
  <sheetViews>
    <sheetView workbookViewId="0" topLeftCell="A1">
      <selection activeCell="D3" sqref="D3"/>
    </sheetView>
  </sheetViews>
  <sheetFormatPr defaultColWidth="9.140625" defaultRowHeight="15"/>
  <cols>
    <col min="1" max="1" width="5.421875" style="1" customWidth="1"/>
    <col min="2" max="2" width="13.421875" style="1" customWidth="1"/>
    <col min="3" max="3" width="18.00390625" style="1" customWidth="1"/>
    <col min="4" max="4" width="12.421875" style="1" customWidth="1"/>
    <col min="5" max="5" width="10.421875" style="1" customWidth="1"/>
    <col min="6" max="8" width="8.8515625" style="1" customWidth="1"/>
    <col min="9" max="9" width="19.00390625" style="1" bestFit="1" customWidth="1"/>
    <col min="10" max="10" width="9.7109375" style="1" bestFit="1" customWidth="1"/>
    <col min="11" max="14" width="8.8515625" style="1" customWidth="1"/>
    <col min="15" max="15" width="19.00390625" style="1" bestFit="1" customWidth="1"/>
    <col min="16" max="16384" width="8.8515625" style="1" customWidth="1"/>
  </cols>
  <sheetData>
    <row r="1" spans="2:9" ht="116.25" customHeight="1">
      <c r="B1" s="10" t="s">
        <v>23</v>
      </c>
      <c r="I1" s="18">
        <f ca="1">NOW()</f>
        <v>43378.472348958334</v>
      </c>
    </row>
    <row r="2" spans="5:6" ht="15" thickBot="1">
      <c r="E2" s="2" t="s">
        <v>10</v>
      </c>
      <c r="F2" s="2" t="s">
        <v>11</v>
      </c>
    </row>
    <row r="3" spans="2:6" ht="15" thickBot="1">
      <c r="B3" s="1" t="s">
        <v>22</v>
      </c>
      <c r="D3" s="19">
        <v>200</v>
      </c>
      <c r="E3" s="1" t="s">
        <v>7</v>
      </c>
      <c r="F3" s="23" t="s">
        <v>27</v>
      </c>
    </row>
    <row r="4" spans="2:6" ht="15" thickBot="1">
      <c r="B4" s="1" t="s">
        <v>64</v>
      </c>
      <c r="D4" s="20">
        <v>2.123</v>
      </c>
      <c r="E4" s="1" t="s">
        <v>8</v>
      </c>
      <c r="F4" s="23" t="s">
        <v>65</v>
      </c>
    </row>
    <row r="5" spans="2:6" ht="15" thickBot="1">
      <c r="B5" s="1" t="s">
        <v>24</v>
      </c>
      <c r="D5" s="19">
        <v>12</v>
      </c>
      <c r="E5" s="1" t="s">
        <v>15</v>
      </c>
      <c r="F5" s="23" t="s">
        <v>19</v>
      </c>
    </row>
    <row r="7" ht="14.25">
      <c r="B7" s="2" t="s">
        <v>9</v>
      </c>
    </row>
    <row r="8" spans="3:20" ht="14.25">
      <c r="C8" s="2" t="s">
        <v>17</v>
      </c>
      <c r="D8" s="2" t="s">
        <v>25</v>
      </c>
      <c r="E8" s="2" t="s">
        <v>6</v>
      </c>
      <c r="F8" s="2" t="s">
        <v>20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12"/>
      <c r="S8" s="11"/>
      <c r="T8" s="11"/>
    </row>
    <row r="9" spans="3:20" ht="15" thickBot="1">
      <c r="C9" s="2" t="s">
        <v>18</v>
      </c>
      <c r="D9" s="2" t="s">
        <v>26</v>
      </c>
      <c r="E9" s="2" t="s">
        <v>5</v>
      </c>
      <c r="F9" s="2" t="s">
        <v>21</v>
      </c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2"/>
      <c r="S9" s="11"/>
      <c r="T9" s="11"/>
    </row>
    <row r="10" spans="2:20" ht="15" thickBot="1">
      <c r="B10" s="21" t="s">
        <v>3</v>
      </c>
      <c r="C10" s="19">
        <v>0.92</v>
      </c>
      <c r="D10" s="29">
        <f>D3</f>
        <v>200</v>
      </c>
      <c r="E10" s="7">
        <f>(D10/1000)*$D$5</f>
        <v>2.4000000000000004</v>
      </c>
      <c r="F10" s="27">
        <f>IF(ISERROR(E10/C10),0,E10/C10)</f>
        <v>2.6086956521739135</v>
      </c>
      <c r="G10" s="11"/>
      <c r="H10" s="11"/>
      <c r="I10" s="11"/>
      <c r="J10" s="11"/>
      <c r="K10" s="11"/>
      <c r="L10" s="11"/>
      <c r="M10" s="11"/>
      <c r="N10" s="11"/>
      <c r="O10" s="11"/>
      <c r="P10" s="13"/>
      <c r="Q10" s="6"/>
      <c r="R10" s="6"/>
      <c r="S10" s="11"/>
      <c r="T10" s="11"/>
    </row>
    <row r="11" spans="2:20" ht="15" thickBot="1">
      <c r="B11" s="21" t="s">
        <v>0</v>
      </c>
      <c r="C11" s="19">
        <v>1</v>
      </c>
      <c r="D11" s="19">
        <v>35</v>
      </c>
      <c r="E11" s="7">
        <f aca="true" t="shared" si="0" ref="E11:E16">(D11/1000)*$D$5</f>
        <v>0.42000000000000004</v>
      </c>
      <c r="F11" s="22">
        <f aca="true" t="shared" si="1" ref="F11:F16">IF(ISERROR(E11/C11),0,E11/C11)</f>
        <v>0.42000000000000004</v>
      </c>
      <c r="G11" s="11"/>
      <c r="H11" s="11"/>
      <c r="I11" s="11"/>
      <c r="J11" s="11"/>
      <c r="K11" s="11"/>
      <c r="L11" s="11"/>
      <c r="M11" s="11"/>
      <c r="N11" s="11"/>
      <c r="O11" s="11"/>
      <c r="P11" s="14"/>
      <c r="Q11" s="6"/>
      <c r="R11" s="6"/>
      <c r="S11" s="11"/>
      <c r="T11" s="11"/>
    </row>
    <row r="12" spans="2:20" ht="15" thickBot="1">
      <c r="B12" s="21" t="s">
        <v>1</v>
      </c>
      <c r="C12" s="19"/>
      <c r="D12" s="19"/>
      <c r="E12" s="7">
        <f t="shared" si="0"/>
        <v>0</v>
      </c>
      <c r="F12" s="22">
        <f t="shared" si="1"/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4"/>
      <c r="Q12" s="6"/>
      <c r="R12" s="6"/>
      <c r="S12" s="11"/>
      <c r="T12" s="11"/>
    </row>
    <row r="13" spans="2:20" ht="15" thickBot="1">
      <c r="B13" s="21" t="s">
        <v>2</v>
      </c>
      <c r="C13" s="19"/>
      <c r="D13" s="19"/>
      <c r="E13" s="7">
        <f t="shared" si="0"/>
        <v>0</v>
      </c>
      <c r="F13" s="22">
        <f t="shared" si="1"/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4"/>
      <c r="Q13" s="6"/>
      <c r="R13" s="6"/>
      <c r="S13" s="11"/>
      <c r="T13" s="11"/>
    </row>
    <row r="14" spans="2:20" ht="15" thickBot="1">
      <c r="B14" s="21" t="s">
        <v>12</v>
      </c>
      <c r="C14" s="19"/>
      <c r="D14" s="19"/>
      <c r="E14" s="7">
        <f t="shared" si="0"/>
        <v>0</v>
      </c>
      <c r="F14" s="22">
        <f t="shared" si="1"/>
        <v>0</v>
      </c>
      <c r="G14" s="11"/>
      <c r="H14" s="11"/>
      <c r="I14" s="11"/>
      <c r="J14" s="11"/>
      <c r="K14" s="11"/>
      <c r="L14" s="11"/>
      <c r="M14" s="11"/>
      <c r="N14" s="11"/>
      <c r="O14" s="11"/>
      <c r="P14" s="14"/>
      <c r="Q14" s="6"/>
      <c r="R14" s="6"/>
      <c r="S14" s="11"/>
      <c r="T14" s="11"/>
    </row>
    <row r="15" spans="2:20" ht="15" thickBot="1">
      <c r="B15" s="21" t="s">
        <v>13</v>
      </c>
      <c r="C15" s="19"/>
      <c r="D15" s="19"/>
      <c r="E15" s="7">
        <f t="shared" si="0"/>
        <v>0</v>
      </c>
      <c r="F15" s="22">
        <f t="shared" si="1"/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5"/>
      <c r="Q15" s="6"/>
      <c r="R15" s="6"/>
      <c r="S15" s="11"/>
      <c r="T15" s="11"/>
    </row>
    <row r="16" spans="2:20" ht="15" thickBot="1">
      <c r="B16" s="21" t="s">
        <v>14</v>
      </c>
      <c r="C16" s="19"/>
      <c r="D16" s="19"/>
      <c r="E16" s="7">
        <f t="shared" si="0"/>
        <v>0</v>
      </c>
      <c r="F16" s="22">
        <f t="shared" si="1"/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9"/>
      <c r="Q16" s="6"/>
      <c r="R16" s="6"/>
      <c r="S16" s="11"/>
      <c r="T16" s="11"/>
    </row>
    <row r="17" spans="2:20" ht="14.25">
      <c r="B17" s="21" t="s">
        <v>16</v>
      </c>
      <c r="D17" s="26">
        <f>1000*E17/D5</f>
        <v>1870.6086956521742</v>
      </c>
      <c r="E17" s="25">
        <f>($D$4*$D$5)-SUM(F10:F16)</f>
        <v>22.44730434782609</v>
      </c>
      <c r="F17" s="28">
        <f>E17</f>
        <v>22.44730434782609</v>
      </c>
      <c r="G17" s="16"/>
      <c r="H17" s="16"/>
      <c r="I17" s="16"/>
      <c r="J17" s="16"/>
      <c r="K17" s="16"/>
      <c r="L17" s="16"/>
      <c r="M17" s="16"/>
      <c r="N17" s="16"/>
      <c r="O17" s="16"/>
      <c r="P17" s="8"/>
      <c r="Q17" s="17"/>
      <c r="R17" s="17"/>
      <c r="S17" s="11"/>
      <c r="T17" s="11"/>
    </row>
    <row r="18" spans="2:20" ht="14.25">
      <c r="B18" s="3" t="s">
        <v>4</v>
      </c>
      <c r="D18" s="24">
        <f>SUM(D10:D17)</f>
        <v>2105.608695652174</v>
      </c>
      <c r="E18" s="24">
        <f>SUM(E10:E17)</f>
        <v>25.26730434782609</v>
      </c>
      <c r="F18" s="22">
        <f>SUM(F10:F17)</f>
        <v>25.476000000000003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20" ht="14.25">
      <c r="B20" s="2"/>
    </row>
    <row r="27" ht="14.25">
      <c r="B27" s="2"/>
    </row>
    <row r="29" spans="3:5" ht="15">
      <c r="C29" s="2"/>
      <c r="D29" s="2"/>
      <c r="E29" s="2"/>
    </row>
    <row r="30" ht="15">
      <c r="C30" s="5"/>
    </row>
    <row r="31" ht="15">
      <c r="C31" s="5"/>
    </row>
    <row r="32" spans="2:3" ht="15">
      <c r="B32" s="3"/>
      <c r="C32" s="4"/>
    </row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</sheetData>
  <sheetProtection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David Dubins</cp:lastModifiedBy>
  <cp:lastPrinted>2018-10-01T16:54:48Z</cp:lastPrinted>
  <dcterms:created xsi:type="dcterms:W3CDTF">2010-01-27T14:24:36Z</dcterms:created>
  <dcterms:modified xsi:type="dcterms:W3CDTF">2018-10-05T15:22:09Z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