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296" activeTab="0"/>
  </bookViews>
  <sheets>
    <sheet name="probit" sheetId="1" r:id="rId1"/>
    <sheet name="fractplot" sheetId="2" r:id="rId2"/>
  </sheets>
  <definedNames>
    <definedName name="_xlnm.Print_Area" localSheetId="1">'fractplot'!$A$1:$H$49</definedName>
    <definedName name="_xlnm.Print_Area" localSheetId="0">'probit'!$A$1:$H$56</definedName>
    <definedName name="_xlnm.Print_Area">'probit'!$A$1:$F$49</definedName>
  </definedNames>
  <calcPr fullCalcOnLoad="1"/>
</workbook>
</file>

<file path=xl/sharedStrings.xml><?xml version="1.0" encoding="utf-8"?>
<sst xmlns="http://schemas.openxmlformats.org/spreadsheetml/2006/main" count="65" uniqueCount="39">
  <si>
    <t xml:space="preserve"> </t>
  </si>
  <si>
    <t>Y=</t>
  </si>
  <si>
    <t>Cumulative Fraction (%)</t>
  </si>
  <si>
    <t>log Cumulative Fraction</t>
  </si>
  <si>
    <t>Arithmetic Mean Diameter</t>
  </si>
  <si>
    <t>Log Mean Diameter</t>
  </si>
  <si>
    <t>Cumulative Fraction in Probits</t>
  </si>
  <si>
    <t>Slope:</t>
  </si>
  <si>
    <t>Y intercept:</t>
  </si>
  <si>
    <t>Total:</t>
  </si>
  <si>
    <t>MMD:</t>
  </si>
  <si>
    <t>Median Mass Diameter Calculation</t>
  </si>
  <si>
    <t>Initial Powder Weight (before seiving):</t>
  </si>
  <si>
    <t>g</t>
  </si>
  <si>
    <t>Particle Size Distribution: Fraction Retained vs. Mean Diameter</t>
  </si>
  <si>
    <t>Fraction Retained (%)</t>
  </si>
  <si>
    <t>Weight 
Retained (g)</t>
  </si>
  <si>
    <t>x</t>
  </si>
  <si>
    <t>y</t>
  </si>
  <si>
    <t>Horizontal Line:</t>
  </si>
  <si>
    <t>Vertical Line:</t>
  </si>
  <si>
    <t>Mode:</t>
  </si>
  <si>
    <t>µm</t>
  </si>
  <si>
    <t>Extra Points</t>
  </si>
  <si>
    <t>Arithmetic Mean</t>
  </si>
  <si>
    <t>Geometric Mean</t>
  </si>
  <si>
    <t>Mode</t>
  </si>
  <si>
    <t>MMD</t>
  </si>
  <si>
    <t>Enter your calculated values here:</t>
  </si>
  <si>
    <r>
      <t>Mean Diameter (µ</t>
    </r>
    <r>
      <rPr>
        <b/>
        <sz val="10.45"/>
        <rFont val="Calibri"/>
        <family val="2"/>
      </rPr>
      <t>m)</t>
    </r>
  </si>
  <si>
    <r>
      <rPr>
        <b/>
        <sz val="12"/>
        <color indexed="30"/>
        <rFont val="Calibri"/>
        <family val="2"/>
      </rPr>
      <t>µ</t>
    </r>
    <r>
      <rPr>
        <b/>
        <sz val="10.45"/>
        <color indexed="30"/>
        <rFont val="Calibri"/>
        <family val="2"/>
      </rPr>
      <t>m</t>
    </r>
  </si>
  <si>
    <r>
      <t>Mean 
Diameter (µ</t>
    </r>
    <r>
      <rPr>
        <sz val="10.45"/>
        <rFont val="Calibri"/>
        <family val="2"/>
      </rPr>
      <t>m)</t>
    </r>
  </si>
  <si>
    <r>
      <t>Arithmetic Mean (d</t>
    </r>
    <r>
      <rPr>
        <vertAlign val="subscript"/>
        <sz val="12"/>
        <rFont val="Calibri"/>
        <family val="2"/>
      </rPr>
      <t>av</t>
    </r>
    <r>
      <rPr>
        <sz val="12"/>
        <rFont val="Calibri"/>
        <family val="2"/>
      </rPr>
      <t>):</t>
    </r>
  </si>
  <si>
    <r>
      <t>Geometric Mean (d</t>
    </r>
    <r>
      <rPr>
        <vertAlign val="subscript"/>
        <sz val="12"/>
        <rFont val="Calibri"/>
        <family val="2"/>
      </rPr>
      <t>geo</t>
    </r>
    <r>
      <rPr>
        <sz val="12"/>
        <rFont val="Calibri"/>
        <family val="2"/>
      </rPr>
      <t>):</t>
    </r>
  </si>
  <si>
    <t>Formulation:</t>
  </si>
  <si>
    <t>Lab Partner(s):</t>
  </si>
  <si>
    <t>The particle size having a cumulative fraction of 5 is the MMD.</t>
  </si>
  <si>
    <t>°C</t>
  </si>
  <si>
    <t>Drug Melting Point: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</si>
</sst>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0"/>
    <numFmt numFmtId="179" formatCode="0.000000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0.000%"/>
    <numFmt numFmtId="188" formatCode="0.0000%"/>
  </numFmts>
  <fonts count="6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0.45"/>
      <name val="Calibri"/>
      <family val="2"/>
    </font>
    <font>
      <b/>
      <sz val="12"/>
      <color indexed="30"/>
      <name val="Calibri"/>
      <family val="2"/>
    </font>
    <font>
      <b/>
      <sz val="10.45"/>
      <color indexed="30"/>
      <name val="Calibri"/>
      <family val="2"/>
    </font>
    <font>
      <sz val="10.45"/>
      <name val="Calibri"/>
      <family val="2"/>
    </font>
    <font>
      <vertAlign val="subscript"/>
      <sz val="12"/>
      <name val="Calibri"/>
      <family val="2"/>
    </font>
    <font>
      <sz val="9.5"/>
      <color indexed="8"/>
      <name val="Verdana"/>
      <family val="0"/>
    </font>
    <font>
      <sz val="10"/>
      <color indexed="8"/>
      <name val="Verdana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30"/>
      <name val="Calibri"/>
      <family val="2"/>
    </font>
    <font>
      <b/>
      <sz val="22"/>
      <color indexed="10"/>
      <name val="Calibri"/>
      <family val="2"/>
    </font>
    <font>
      <sz val="11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2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33" borderId="0" xfId="0" applyNumberFormat="1" applyFont="1" applyFill="1" applyAlignment="1">
      <alignment/>
    </xf>
    <xf numFmtId="0" fontId="35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/>
      <protection locked="0"/>
    </xf>
    <xf numFmtId="0" fontId="7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/>
    </xf>
    <xf numFmtId="178" fontId="7" fillId="33" borderId="0" xfId="0" applyNumberFormat="1" applyFont="1" applyFill="1" applyAlignment="1" applyProtection="1">
      <alignment horizontal="center"/>
      <protection locked="0"/>
    </xf>
    <xf numFmtId="178" fontId="7" fillId="33" borderId="0" xfId="0" applyNumberFormat="1" applyFont="1" applyFill="1" applyAlignment="1" applyProtection="1">
      <alignment horizontal="right"/>
      <protection locked="0"/>
    </xf>
    <xf numFmtId="178" fontId="7" fillId="33" borderId="0" xfId="0" applyNumberFormat="1" applyFont="1" applyFill="1" applyAlignment="1" applyProtection="1">
      <alignment/>
      <protection locked="0"/>
    </xf>
    <xf numFmtId="0" fontId="36" fillId="33" borderId="0" xfId="0" applyNumberFormat="1" applyFont="1" applyFill="1" applyAlignment="1">
      <alignment/>
    </xf>
    <xf numFmtId="179" fontId="7" fillId="33" borderId="0" xfId="0" applyNumberFormat="1" applyFont="1" applyFill="1" applyAlignment="1" applyProtection="1">
      <alignment/>
      <protection locked="0"/>
    </xf>
    <xf numFmtId="180" fontId="7" fillId="33" borderId="0" xfId="0" applyNumberFormat="1" applyFont="1" applyFill="1" applyAlignment="1" applyProtection="1">
      <alignment/>
      <protection locked="0"/>
    </xf>
    <xf numFmtId="0" fontId="62" fillId="33" borderId="10" xfId="0" applyNumberFormat="1" applyFont="1" applyFill="1" applyBorder="1" applyAlignment="1" applyProtection="1">
      <alignment/>
      <protection locked="0"/>
    </xf>
    <xf numFmtId="0" fontId="38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63" fillId="33" borderId="0" xfId="0" applyNumberFormat="1" applyFont="1" applyFill="1" applyAlignment="1">
      <alignment/>
    </xf>
    <xf numFmtId="178" fontId="7" fillId="33" borderId="0" xfId="0" applyNumberFormat="1" applyFont="1" applyFill="1" applyAlignment="1" applyProtection="1">
      <alignment/>
      <protection locked="0"/>
    </xf>
    <xf numFmtId="0" fontId="62" fillId="33" borderId="11" xfId="0" applyFont="1" applyFill="1" applyBorder="1" applyAlignment="1" applyProtection="1">
      <alignment/>
      <protection locked="0"/>
    </xf>
    <xf numFmtId="0" fontId="62" fillId="33" borderId="12" xfId="0" applyNumberFormat="1" applyFont="1" applyFill="1" applyBorder="1" applyAlignment="1" applyProtection="1">
      <alignment/>
      <protection locked="0"/>
    </xf>
    <xf numFmtId="187" fontId="64" fillId="33" borderId="0" xfId="0" applyNumberFormat="1" applyFont="1" applyFill="1" applyAlignment="1">
      <alignment/>
    </xf>
    <xf numFmtId="181" fontId="64" fillId="33" borderId="0" xfId="0" applyNumberFormat="1" applyFont="1" applyFill="1" applyAlignment="1">
      <alignment/>
    </xf>
    <xf numFmtId="0" fontId="62" fillId="33" borderId="13" xfId="0" applyFont="1" applyFill="1" applyBorder="1" applyAlignment="1" applyProtection="1">
      <alignment/>
      <protection locked="0"/>
    </xf>
    <xf numFmtId="0" fontId="62" fillId="33" borderId="10" xfId="0" applyNumberFormat="1" applyFont="1" applyFill="1" applyBorder="1" applyAlignment="1" applyProtection="1">
      <alignment/>
      <protection locked="0"/>
    </xf>
    <xf numFmtId="0" fontId="62" fillId="33" borderId="14" xfId="0" applyFont="1" applyFill="1" applyBorder="1" applyAlignment="1" applyProtection="1">
      <alignment/>
      <protection locked="0"/>
    </xf>
    <xf numFmtId="0" fontId="62" fillId="33" borderId="15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Alignment="1">
      <alignment horizontal="right"/>
    </xf>
    <xf numFmtId="10" fontId="7" fillId="33" borderId="0" xfId="0" applyNumberFormat="1" applyFont="1" applyFill="1" applyAlignment="1">
      <alignment/>
    </xf>
    <xf numFmtId="181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181" fontId="63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36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38" fillId="33" borderId="0" xfId="0" applyNumberFormat="1" applyFont="1" applyFill="1" applyAlignment="1">
      <alignment/>
    </xf>
    <xf numFmtId="0" fontId="38" fillId="33" borderId="0" xfId="0" applyNumberFormat="1" applyFont="1" applyFill="1" applyAlignment="1">
      <alignment horizontal="left"/>
    </xf>
    <xf numFmtId="2" fontId="65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4" fillId="33" borderId="16" xfId="0" applyNumberFormat="1" applyFont="1" applyFill="1" applyBorder="1" applyAlignment="1">
      <alignment/>
    </xf>
    <xf numFmtId="10" fontId="63" fillId="33" borderId="0" xfId="0" applyNumberFormat="1" applyFont="1" applyFill="1" applyAlignment="1">
      <alignment/>
    </xf>
    <xf numFmtId="2" fontId="64" fillId="33" borderId="0" xfId="0" applyNumberFormat="1" applyFont="1" applyFill="1" applyBorder="1" applyAlignment="1">
      <alignment/>
    </xf>
    <xf numFmtId="0" fontId="38" fillId="33" borderId="0" xfId="0" applyNumberFormat="1" applyFont="1" applyFill="1" applyAlignment="1">
      <alignment/>
    </xf>
    <xf numFmtId="0" fontId="64" fillId="33" borderId="17" xfId="0" applyNumberFormat="1" applyFont="1" applyFill="1" applyBorder="1" applyAlignment="1">
      <alignment/>
    </xf>
    <xf numFmtId="0" fontId="64" fillId="33" borderId="18" xfId="0" applyNumberFormat="1" applyFont="1" applyFill="1" applyBorder="1" applyAlignment="1">
      <alignment/>
    </xf>
    <xf numFmtId="0" fontId="64" fillId="33" borderId="19" xfId="0" applyNumberFormat="1" applyFont="1" applyFill="1" applyBorder="1" applyAlignment="1">
      <alignment/>
    </xf>
    <xf numFmtId="181" fontId="64" fillId="33" borderId="20" xfId="0" applyNumberFormat="1" applyFont="1" applyFill="1" applyBorder="1" applyAlignment="1">
      <alignment/>
    </xf>
    <xf numFmtId="10" fontId="64" fillId="33" borderId="20" xfId="0" applyNumberFormat="1" applyFont="1" applyFill="1" applyBorder="1" applyAlignment="1">
      <alignment/>
    </xf>
    <xf numFmtId="10" fontId="64" fillId="33" borderId="21" xfId="0" applyNumberFormat="1" applyFont="1" applyFill="1" applyBorder="1" applyAlignment="1">
      <alignment/>
    </xf>
    <xf numFmtId="10" fontId="64" fillId="33" borderId="22" xfId="0" applyNumberFormat="1" applyFont="1" applyFill="1" applyBorder="1" applyAlignment="1">
      <alignment/>
    </xf>
    <xf numFmtId="0" fontId="66" fillId="33" borderId="0" xfId="0" applyNumberFormat="1" applyFont="1" applyFill="1" applyAlignment="1">
      <alignment horizontal="left"/>
    </xf>
    <xf numFmtId="0" fontId="64" fillId="33" borderId="0" xfId="0" applyNumberFormat="1" applyFont="1" applyFill="1" applyAlignment="1">
      <alignment/>
    </xf>
    <xf numFmtId="22" fontId="7" fillId="33" borderId="0" xfId="0" applyNumberFormat="1" applyFont="1" applyFill="1" applyAlignment="1">
      <alignment horizontal="center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22" fontId="7" fillId="33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0075"/>
          <c:w val="0.85075"/>
          <c:h val="0.80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probit!$A$8:$A$15</c:f>
              <c:numCache/>
            </c:numRef>
          </c:xVal>
          <c:yVal>
            <c:numRef>
              <c:f>probit!$B$8:$B$15</c:f>
              <c:numCache/>
            </c:numRef>
          </c:yVal>
          <c:smooth val="0"/>
        </c:ser>
        <c:axId val="62330090"/>
        <c:axId val="24099899"/>
      </c:scatterChart>
      <c:valAx>
        <c:axId val="6233009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Mean Diameter (µm) 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Log Scale</a:t>
                </a:r>
              </a:p>
            </c:rich>
          </c:tx>
          <c:layout>
            <c:manualLayout>
              <c:xMode val="factor"/>
              <c:yMode val="factor"/>
              <c:x val="0.004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 val="autoZero"/>
        <c:crossBetween val="midCat"/>
        <c:dispUnits/>
      </c:valAx>
      <c:valAx>
        <c:axId val="2409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Weight Retained (g)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30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-0.02025"/>
          <c:w val="0.88075"/>
          <c:h val="0.82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probit!$A$8:$A$15</c:f>
              <c:numCache/>
            </c:numRef>
          </c:xVal>
          <c:yVal>
            <c:numRef>
              <c:f>probit!$B$8:$B$15</c:f>
              <c:numCache/>
            </c:numRef>
          </c:yVal>
          <c:smooth val="0"/>
        </c:ser>
        <c:axId val="15572500"/>
        <c:axId val="5934773"/>
      </c:scatterChart>
      <c:val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Mean Diameter (µm)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Linear Scale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4773"/>
        <c:crosses val="autoZero"/>
        <c:crossBetween val="midCat"/>
        <c:dispUnits/>
      </c:valAx>
      <c:valAx>
        <c:axId val="593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Weight Retained (g)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725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Median Mass Diameter Plot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-0.00775"/>
          <c:w val="0.95375"/>
          <c:h val="0.8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probit!$F$8:$F$15</c:f>
              <c:numCache/>
            </c:numRef>
          </c:xVal>
          <c:yVal>
            <c:numRef>
              <c:f>probit!$H$8:$H$15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probit!$J$41:$J$42</c:f>
              <c:numCache/>
            </c:numRef>
          </c:xVal>
          <c:yVal>
            <c:numRef>
              <c:f>probit!$K$41:$K$42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probit!$J$47:$J$48</c:f>
              <c:numCache/>
            </c:numRef>
          </c:xVal>
          <c:yVal>
            <c:numRef>
              <c:f>probit!$K$47:$K$48</c:f>
              <c:numCache/>
            </c:numRef>
          </c:yVal>
          <c:smooth val="0"/>
        </c:ser>
        <c:axId val="53412958"/>
        <c:axId val="10954575"/>
      </c:scatterChart>
      <c:val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Log Particle Diameter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54575"/>
        <c:crosses val="autoZero"/>
        <c:crossBetween val="midCat"/>
        <c:dispUnits/>
      </c:valAx>
      <c:valAx>
        <c:axId val="1095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Cumulative Fraction in Probits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129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Particle Size Distribution Plot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Weight Fraction Retained vs. Mean Particle Diameter</a:t>
            </a:r>
          </a:p>
        </c:rich>
      </c:tx>
      <c:layout>
        <c:manualLayout>
          <c:xMode val="factor"/>
          <c:yMode val="factor"/>
          <c:x val="0.006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1825"/>
          <c:w val="0.94025"/>
          <c:h val="0.823"/>
        </c:manualLayout>
      </c:layout>
      <c:scatterChart>
        <c:scatterStyle val="lineMarker"/>
        <c:varyColors val="0"/>
        <c:ser>
          <c:idx val="0"/>
          <c:order val="0"/>
          <c:tx>
            <c:v>Fraction Retained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fractplot!$A$8:$A$15</c:f>
              <c:numCache/>
            </c:numRef>
          </c:xVal>
          <c:yVal>
            <c:numRef>
              <c:f>fractplot!$C$8:$C$15</c:f>
              <c:numCache/>
            </c:numRef>
          </c:yVal>
          <c:smooth val="0"/>
        </c:ser>
        <c:ser>
          <c:idx val="1"/>
          <c:order val="1"/>
          <c:tx>
            <c:strRef>
              <c:f>fractplot!$J$8</c:f>
              <c:strCache>
                <c:ptCount val="1"/>
                <c:pt idx="0">
                  <c:v>Arithmetic Mean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fractplot!$J$10:$J$11</c:f>
              <c:numCache/>
            </c:numRef>
          </c:xVal>
          <c:yVal>
            <c:numRef>
              <c:f>fractplot!$K$10:$K$11</c:f>
              <c:numCache/>
            </c:numRef>
          </c:yVal>
          <c:smooth val="0"/>
        </c:ser>
        <c:ser>
          <c:idx val="2"/>
          <c:order val="2"/>
          <c:tx>
            <c:strRef>
              <c:f>fractplot!$J$12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254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fractplot!$J$14:$J$15</c:f>
              <c:numCache/>
            </c:numRef>
          </c:xVal>
          <c:yVal>
            <c:numRef>
              <c:f>fractplot!$K$14:$K$15</c:f>
              <c:numCache/>
            </c:numRef>
          </c:yVal>
          <c:smooth val="0"/>
        </c:ser>
        <c:ser>
          <c:idx val="3"/>
          <c:order val="3"/>
          <c:tx>
            <c:strRef>
              <c:f>fractplot!$J$16</c:f>
              <c:strCache>
                <c:ptCount val="1"/>
                <c:pt idx="0">
                  <c:v>Mode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fractplot!$J$18:$J$19</c:f>
              <c:numCache/>
            </c:numRef>
          </c:xVal>
          <c:yVal>
            <c:numRef>
              <c:f>fractplot!$K$18:$K$19</c:f>
              <c:numCache/>
            </c:numRef>
          </c:yVal>
          <c:smooth val="0"/>
        </c:ser>
        <c:ser>
          <c:idx val="4"/>
          <c:order val="4"/>
          <c:tx>
            <c:strRef>
              <c:f>fractplot!$J$20</c:f>
              <c:strCache>
                <c:ptCount val="1"/>
                <c:pt idx="0">
                  <c:v>MMD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fractplot!$J$22:$J$23</c:f>
              <c:numCache/>
            </c:numRef>
          </c:xVal>
          <c:yVal>
            <c:numRef>
              <c:f>fractplot!$K$22:$K$23</c:f>
              <c:numCache/>
            </c:numRef>
          </c:yVal>
          <c:smooth val="0"/>
        </c:ser>
        <c:axId val="31482312"/>
        <c:axId val="14905353"/>
      </c:scatterChart>
      <c:valAx>
        <c:axId val="3148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Mean Particle Diameter (µm)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05353"/>
        <c:crosses val="autoZero"/>
        <c:crossBetween val="midCat"/>
        <c:dispUnits/>
      </c:valAx>
      <c:valAx>
        <c:axId val="1490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Weight Fraction Retained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823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75"/>
          <c:y val="0.13925"/>
          <c:w val="0.26175"/>
          <c:h val="0.1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17</xdr:row>
      <xdr:rowOff>76200</xdr:rowOff>
    </xdr:from>
    <xdr:to>
      <xdr:col>7</xdr:col>
      <xdr:colOff>723900</xdr:colOff>
      <xdr:row>32</xdr:row>
      <xdr:rowOff>47625</xdr:rowOff>
    </xdr:to>
    <xdr:graphicFrame>
      <xdr:nvGraphicFramePr>
        <xdr:cNvPr id="1" name="Chart 11"/>
        <xdr:cNvGraphicFramePr/>
      </xdr:nvGraphicFramePr>
      <xdr:xfrm>
        <a:off x="3714750" y="3943350"/>
        <a:ext cx="3981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114300</xdr:rowOff>
    </xdr:from>
    <xdr:to>
      <xdr:col>3</xdr:col>
      <xdr:colOff>247650</xdr:colOff>
      <xdr:row>32</xdr:row>
      <xdr:rowOff>76200</xdr:rowOff>
    </xdr:to>
    <xdr:graphicFrame>
      <xdr:nvGraphicFramePr>
        <xdr:cNvPr id="2" name="Chart 11"/>
        <xdr:cNvGraphicFramePr/>
      </xdr:nvGraphicFramePr>
      <xdr:xfrm>
        <a:off x="66675" y="3981450"/>
        <a:ext cx="36099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33</xdr:row>
      <xdr:rowOff>0</xdr:rowOff>
    </xdr:from>
    <xdr:to>
      <xdr:col>7</xdr:col>
      <xdr:colOff>790575</xdr:colOff>
      <xdr:row>50</xdr:row>
      <xdr:rowOff>85725</xdr:rowOff>
    </xdr:to>
    <xdr:graphicFrame>
      <xdr:nvGraphicFramePr>
        <xdr:cNvPr id="3" name="Chart 1"/>
        <xdr:cNvGraphicFramePr/>
      </xdr:nvGraphicFramePr>
      <xdr:xfrm>
        <a:off x="95250" y="6915150"/>
        <a:ext cx="76676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0</xdr:rowOff>
    </xdr:from>
    <xdr:to>
      <xdr:col>7</xdr:col>
      <xdr:colOff>819150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42875" y="3829050"/>
        <a:ext cx="76485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showOutlineSymbols="0" zoomScale="87" zoomScaleNormal="87" zoomScalePageLayoutView="0" workbookViewId="0" topLeftCell="A1">
      <selection activeCell="B3" sqref="B3:H3"/>
    </sheetView>
  </sheetViews>
  <sheetFormatPr defaultColWidth="9.6640625" defaultRowHeight="15"/>
  <cols>
    <col min="1" max="1" width="13.6640625" style="4" customWidth="1"/>
    <col min="2" max="2" width="16.6640625" style="4" customWidth="1"/>
    <col min="3" max="3" width="9.6640625" style="4" customWidth="1"/>
    <col min="4" max="4" width="12.6640625" style="4" customWidth="1"/>
    <col min="5" max="5" width="9.6640625" style="4" customWidth="1"/>
    <col min="6" max="6" width="8.3359375" style="4" customWidth="1"/>
    <col min="7" max="7" width="10.6640625" style="4" customWidth="1"/>
    <col min="8" max="8" width="9.99609375" style="4" customWidth="1"/>
    <col min="9" max="9" width="9.6640625" style="4" customWidth="1"/>
    <col min="10" max="10" width="10.6640625" style="4" customWidth="1"/>
    <col min="11" max="16" width="9.6640625" style="4" customWidth="1"/>
    <col min="17" max="17" width="15.6640625" style="4" customWidth="1"/>
    <col min="18" max="16384" width="9.6640625" style="4" customWidth="1"/>
  </cols>
  <sheetData>
    <row r="1" spans="1:15" ht="18">
      <c r="A1" s="2" t="s">
        <v>11</v>
      </c>
      <c r="B1" s="1"/>
      <c r="C1" s="1"/>
      <c r="D1" s="3"/>
      <c r="E1" s="3"/>
      <c r="F1" s="3"/>
      <c r="G1" s="51">
        <f ca="1">NOW()</f>
        <v>43777.46972523148</v>
      </c>
      <c r="H1" s="51"/>
      <c r="J1" s="5"/>
      <c r="K1" s="5"/>
      <c r="L1" s="6"/>
      <c r="M1" s="6"/>
      <c r="N1" s="7"/>
      <c r="O1" s="8"/>
    </row>
    <row r="2" spans="1:15" ht="15">
      <c r="A2" s="1"/>
      <c r="D2" s="9"/>
      <c r="E2" s="3"/>
      <c r="F2" s="3"/>
      <c r="G2" s="1"/>
      <c r="I2" s="4" t="s">
        <v>0</v>
      </c>
      <c r="J2" s="5"/>
      <c r="K2" s="5"/>
      <c r="L2" s="10"/>
      <c r="M2" s="8"/>
      <c r="N2" s="11"/>
      <c r="O2" s="8"/>
    </row>
    <row r="3" spans="1:15" ht="15">
      <c r="A3" s="41" t="s">
        <v>34</v>
      </c>
      <c r="B3" s="53"/>
      <c r="C3" s="53"/>
      <c r="D3" s="53"/>
      <c r="E3" s="53"/>
      <c r="F3" s="53"/>
      <c r="G3" s="53"/>
      <c r="H3" s="53"/>
      <c r="J3" s="5"/>
      <c r="K3" s="5"/>
      <c r="L3" s="10"/>
      <c r="M3" s="8"/>
      <c r="N3" s="11"/>
      <c r="O3" s="8"/>
    </row>
    <row r="4" spans="1:15" ht="15">
      <c r="A4" s="41" t="s">
        <v>35</v>
      </c>
      <c r="B4" s="52"/>
      <c r="C4" s="52"/>
      <c r="D4" s="52"/>
      <c r="E4" s="52"/>
      <c r="F4" s="52"/>
      <c r="G4" s="52"/>
      <c r="H4" s="52"/>
      <c r="J4" s="5"/>
      <c r="K4" s="5"/>
      <c r="L4" s="10"/>
      <c r="M4" s="8"/>
      <c r="N4" s="11"/>
      <c r="O4" s="8"/>
    </row>
    <row r="5" spans="1:15" ht="6.75" customHeight="1" thickBot="1">
      <c r="A5" s="1"/>
      <c r="D5" s="3"/>
      <c r="E5" s="3"/>
      <c r="F5" s="3"/>
      <c r="G5" s="1"/>
      <c r="J5" s="5"/>
      <c r="K5" s="5"/>
      <c r="L5" s="10"/>
      <c r="M5" s="8"/>
      <c r="N5" s="11"/>
      <c r="O5" s="8"/>
    </row>
    <row r="6" spans="1:15" ht="15.75" thickBot="1">
      <c r="A6" s="1" t="s">
        <v>12</v>
      </c>
      <c r="C6" s="12">
        <v>1</v>
      </c>
      <c r="D6" s="4" t="s">
        <v>13</v>
      </c>
      <c r="G6" s="1"/>
      <c r="J6" s="5"/>
      <c r="K6" s="5"/>
      <c r="L6" s="10"/>
      <c r="M6" s="8"/>
      <c r="N6" s="11"/>
      <c r="O6" s="8"/>
    </row>
    <row r="7" spans="1:15" ht="47.25" thickBot="1">
      <c r="A7" s="13" t="s">
        <v>29</v>
      </c>
      <c r="B7" s="13" t="s">
        <v>16</v>
      </c>
      <c r="C7" s="14" t="s">
        <v>15</v>
      </c>
      <c r="D7" s="14" t="s">
        <v>2</v>
      </c>
      <c r="E7" s="14" t="s">
        <v>3</v>
      </c>
      <c r="F7" s="14" t="s">
        <v>5</v>
      </c>
      <c r="G7" s="14" t="s">
        <v>4</v>
      </c>
      <c r="H7" s="14" t="s">
        <v>6</v>
      </c>
      <c r="I7" s="14"/>
      <c r="J7" s="15"/>
      <c r="K7" s="15"/>
      <c r="L7" s="16"/>
      <c r="M7" s="8"/>
      <c r="N7" s="8"/>
      <c r="O7" s="8"/>
    </row>
    <row r="8" spans="1:15" ht="15.75" thickBot="1">
      <c r="A8" s="17">
        <v>1</v>
      </c>
      <c r="B8" s="18">
        <v>1</v>
      </c>
      <c r="C8" s="19">
        <f>IF($A8="","",B8/$C$6)</f>
        <v>1</v>
      </c>
      <c r="D8" s="20">
        <f>IF($A8="",NA(),C8*100)</f>
        <v>100</v>
      </c>
      <c r="E8" s="20">
        <f aca="true" t="shared" si="0" ref="E8:E15">IF(OR($A8="",B8=0),NA(),LOG(D8))</f>
        <v>2</v>
      </c>
      <c r="F8" s="20">
        <f aca="true" t="shared" si="1" ref="F8:F15">IF($A8="",NA(),LOG(G8))</f>
        <v>0</v>
      </c>
      <c r="G8" s="20">
        <f aca="true" t="shared" si="2" ref="G8:G15">IF($A8="",NA(),A8)</f>
        <v>1</v>
      </c>
      <c r="H8" s="50">
        <f aca="true" t="shared" si="3" ref="H8:H15">IF($A8="",NA(),((0.00000000505)*$D8^5)-((0.0000012779)*$D8^4)+((0.000123515)*$D8^3)-((0.00566)*$D8^2)+((0.14897)*$D8)+2.6784)</f>
        <v>7.2004000000000055</v>
      </c>
      <c r="I8" s="20"/>
      <c r="J8" s="15">
        <f>IF(ISERROR(F8),"",F8)</f>
        <v>0</v>
      </c>
      <c r="K8" s="15">
        <f>IF(ISERROR(H8),"",H8)</f>
        <v>7.2004000000000055</v>
      </c>
      <c r="L8" s="16"/>
      <c r="M8" s="8"/>
      <c r="N8" s="8"/>
      <c r="O8" s="8"/>
    </row>
    <row r="9" spans="1:15" ht="15.75" thickBot="1">
      <c r="A9" s="17">
        <v>2</v>
      </c>
      <c r="B9" s="18">
        <v>2</v>
      </c>
      <c r="C9" s="19">
        <f aca="true" t="shared" si="4" ref="C9:C15">IF($A9="","",B9/$C$6)</f>
        <v>2</v>
      </c>
      <c r="D9" s="20">
        <f>IF($A9="","",C9*100+D8)</f>
        <v>300</v>
      </c>
      <c r="E9" s="20">
        <f t="shared" si="0"/>
        <v>2.4771212547196626</v>
      </c>
      <c r="F9" s="20">
        <f t="shared" si="1"/>
        <v>0.3010299956639812</v>
      </c>
      <c r="G9" s="20">
        <f t="shared" si="2"/>
        <v>2</v>
      </c>
      <c r="H9" s="50">
        <f t="shared" si="3"/>
        <v>4793.384400000001</v>
      </c>
      <c r="I9" s="30">
        <f>IF(A9&lt;A8,1,0)</f>
        <v>0</v>
      </c>
      <c r="J9" s="15">
        <f aca="true" t="shared" si="5" ref="J9:J15">IF(ISERROR(F9),"",F9)</f>
        <v>0.3010299956639812</v>
      </c>
      <c r="K9" s="15">
        <f aca="true" t="shared" si="6" ref="K9:K15">IF(ISERROR(H9),"",H9)</f>
        <v>4793.384400000001</v>
      </c>
      <c r="L9" s="16"/>
      <c r="M9" s="8"/>
      <c r="N9" s="8"/>
      <c r="O9" s="8"/>
    </row>
    <row r="10" spans="1:15" ht="15.75" thickBot="1">
      <c r="A10" s="17">
        <v>3</v>
      </c>
      <c r="B10" s="18">
        <v>3</v>
      </c>
      <c r="C10" s="19">
        <f t="shared" si="4"/>
        <v>3</v>
      </c>
      <c r="D10" s="20">
        <f aca="true" t="shared" si="7" ref="D10:D15">IF($A10="","",C10*100+D9)</f>
        <v>600</v>
      </c>
      <c r="E10" s="20">
        <f t="shared" si="0"/>
        <v>2.7781512503836434</v>
      </c>
      <c r="F10" s="20">
        <f t="shared" si="1"/>
        <v>0.47712125471966244</v>
      </c>
      <c r="G10" s="20">
        <f t="shared" si="2"/>
        <v>3</v>
      </c>
      <c r="H10" s="50">
        <f t="shared" si="3"/>
        <v>251805.8604</v>
      </c>
      <c r="I10" s="30">
        <f aca="true" t="shared" si="8" ref="I10:I15">IF(A10&lt;A9,1,0)</f>
        <v>0</v>
      </c>
      <c r="J10" s="15">
        <f t="shared" si="5"/>
        <v>0.47712125471966244</v>
      </c>
      <c r="K10" s="15">
        <f t="shared" si="6"/>
        <v>251805.8604</v>
      </c>
      <c r="L10" s="16"/>
      <c r="M10" s="8"/>
      <c r="N10" s="8"/>
      <c r="O10" s="8"/>
    </row>
    <row r="11" spans="1:15" ht="15.75" thickBot="1">
      <c r="A11" s="21">
        <v>4</v>
      </c>
      <c r="B11" s="22">
        <v>4</v>
      </c>
      <c r="C11" s="19">
        <f t="shared" si="4"/>
        <v>4</v>
      </c>
      <c r="D11" s="20">
        <f t="shared" si="7"/>
        <v>1000</v>
      </c>
      <c r="E11" s="20">
        <f t="shared" si="0"/>
        <v>3</v>
      </c>
      <c r="F11" s="20">
        <f t="shared" si="1"/>
        <v>0.6020599913279624</v>
      </c>
      <c r="G11" s="20">
        <f t="shared" si="2"/>
        <v>4</v>
      </c>
      <c r="H11" s="50">
        <f t="shared" si="3"/>
        <v>3890106.6484000003</v>
      </c>
      <c r="I11" s="30">
        <f t="shared" si="8"/>
        <v>0</v>
      </c>
      <c r="J11" s="15">
        <f t="shared" si="5"/>
        <v>0.6020599913279624</v>
      </c>
      <c r="K11" s="15">
        <f t="shared" si="6"/>
        <v>3890106.6484000003</v>
      </c>
      <c r="L11" s="16"/>
      <c r="M11" s="8"/>
      <c r="N11" s="11"/>
      <c r="O11" s="8"/>
    </row>
    <row r="12" spans="1:15" ht="15.75" thickBot="1">
      <c r="A12" s="23">
        <v>5</v>
      </c>
      <c r="B12" s="24">
        <v>5</v>
      </c>
      <c r="C12" s="19">
        <f t="shared" si="4"/>
        <v>5</v>
      </c>
      <c r="D12" s="20">
        <f t="shared" si="7"/>
        <v>1500</v>
      </c>
      <c r="E12" s="20">
        <f t="shared" si="0"/>
        <v>3.1760912590556813</v>
      </c>
      <c r="F12" s="20">
        <f t="shared" si="1"/>
        <v>0.6989700043360189</v>
      </c>
      <c r="G12" s="20">
        <f t="shared" si="2"/>
        <v>5</v>
      </c>
      <c r="H12" s="50">
        <f t="shared" si="3"/>
        <v>32283423.008399997</v>
      </c>
      <c r="I12" s="30">
        <f t="shared" si="8"/>
        <v>0</v>
      </c>
      <c r="J12" s="15">
        <f t="shared" si="5"/>
        <v>0.6989700043360189</v>
      </c>
      <c r="K12" s="15">
        <f t="shared" si="6"/>
        <v>32283423.008399997</v>
      </c>
      <c r="L12" s="16"/>
      <c r="M12" s="8"/>
      <c r="N12" s="8"/>
      <c r="O12" s="8"/>
    </row>
    <row r="13" spans="1:15" ht="15.75" thickBot="1">
      <c r="A13" s="23"/>
      <c r="B13" s="24"/>
      <c r="C13" s="19">
        <f t="shared" si="4"/>
      </c>
      <c r="D13" s="20">
        <f t="shared" si="7"/>
      </c>
      <c r="E13" s="20" t="e">
        <f t="shared" si="0"/>
        <v>#N/A</v>
      </c>
      <c r="F13" s="20" t="e">
        <f t="shared" si="1"/>
        <v>#N/A</v>
      </c>
      <c r="G13" s="20" t="e">
        <f t="shared" si="2"/>
        <v>#N/A</v>
      </c>
      <c r="H13" s="50" t="e">
        <f t="shared" si="3"/>
        <v>#N/A</v>
      </c>
      <c r="I13" s="30">
        <f t="shared" si="8"/>
        <v>1</v>
      </c>
      <c r="J13" s="15">
        <f t="shared" si="5"/>
      </c>
      <c r="K13" s="15">
        <f t="shared" si="6"/>
      </c>
      <c r="L13" s="16"/>
      <c r="M13" s="8"/>
      <c r="N13" s="8"/>
      <c r="O13" s="8"/>
    </row>
    <row r="14" spans="1:15" ht="15.75" thickBot="1">
      <c r="A14" s="23"/>
      <c r="B14" s="24"/>
      <c r="C14" s="19">
        <f t="shared" si="4"/>
      </c>
      <c r="D14" s="20">
        <f t="shared" si="7"/>
      </c>
      <c r="E14" s="20" t="e">
        <f t="shared" si="0"/>
        <v>#N/A</v>
      </c>
      <c r="F14" s="20" t="e">
        <f t="shared" si="1"/>
        <v>#N/A</v>
      </c>
      <c r="G14" s="20" t="e">
        <f t="shared" si="2"/>
        <v>#N/A</v>
      </c>
      <c r="H14" s="50" t="e">
        <f t="shared" si="3"/>
        <v>#N/A</v>
      </c>
      <c r="I14" s="30">
        <f t="shared" si="8"/>
        <v>0</v>
      </c>
      <c r="J14" s="15">
        <f t="shared" si="5"/>
      </c>
      <c r="K14" s="15">
        <f t="shared" si="6"/>
      </c>
      <c r="L14" s="16"/>
      <c r="M14" s="8"/>
      <c r="N14" s="8"/>
      <c r="O14" s="8"/>
    </row>
    <row r="15" spans="1:15" ht="15.75" thickBot="1">
      <c r="A15" s="23"/>
      <c r="B15" s="24"/>
      <c r="C15" s="19">
        <f t="shared" si="4"/>
      </c>
      <c r="D15" s="20">
        <f t="shared" si="7"/>
      </c>
      <c r="E15" s="20" t="e">
        <f t="shared" si="0"/>
        <v>#N/A</v>
      </c>
      <c r="F15" s="20" t="e">
        <f t="shared" si="1"/>
        <v>#N/A</v>
      </c>
      <c r="G15" s="20" t="e">
        <f t="shared" si="2"/>
        <v>#N/A</v>
      </c>
      <c r="H15" s="50" t="e">
        <f t="shared" si="3"/>
        <v>#N/A</v>
      </c>
      <c r="I15" s="30">
        <f t="shared" si="8"/>
        <v>0</v>
      </c>
      <c r="J15" s="15">
        <f t="shared" si="5"/>
      </c>
      <c r="K15" s="15">
        <f t="shared" si="6"/>
      </c>
      <c r="L15" s="16"/>
      <c r="M15" s="8"/>
      <c r="N15" s="8"/>
      <c r="O15" s="8"/>
    </row>
    <row r="16" spans="1:15" ht="15">
      <c r="A16" s="25" t="s">
        <v>9</v>
      </c>
      <c r="B16" s="20">
        <f>SUM(B8:B15)</f>
        <v>15</v>
      </c>
      <c r="C16" s="26"/>
      <c r="D16" s="27"/>
      <c r="E16" s="28"/>
      <c r="F16" s="28"/>
      <c r="G16" s="28"/>
      <c r="I16" s="29"/>
      <c r="J16" s="30"/>
      <c r="K16" s="30"/>
      <c r="L16" s="16"/>
      <c r="M16" s="8"/>
      <c r="N16" s="8"/>
      <c r="O16" s="8"/>
    </row>
    <row r="17" spans="1:15" ht="30.75" customHeight="1">
      <c r="A17" s="49">
        <f>IF(SUM($I$8:$I$15)&gt;1,"WARNING: Mean Diameters must be entered in ascending order.","")</f>
      </c>
      <c r="B17" s="20"/>
      <c r="C17" s="26"/>
      <c r="D17" s="27"/>
      <c r="E17" s="28"/>
      <c r="F17" s="28"/>
      <c r="G17" s="28"/>
      <c r="I17" s="29"/>
      <c r="J17" s="30"/>
      <c r="K17" s="30"/>
      <c r="L17" s="16"/>
      <c r="M17" s="8"/>
      <c r="N17" s="8"/>
      <c r="O17" s="8"/>
    </row>
    <row r="18" spans="1:15" ht="15">
      <c r="A18" s="25"/>
      <c r="B18" s="3"/>
      <c r="C18" s="26"/>
      <c r="D18" s="27"/>
      <c r="E18" s="28"/>
      <c r="F18" s="28"/>
      <c r="H18" s="29"/>
      <c r="I18" s="27"/>
      <c r="J18" s="27"/>
      <c r="K18" s="31"/>
      <c r="L18" s="16"/>
      <c r="M18" s="8"/>
      <c r="N18" s="8"/>
      <c r="O18" s="8"/>
    </row>
    <row r="19" spans="1:15" ht="15">
      <c r="A19" s="1"/>
      <c r="G19" s="1"/>
      <c r="J19" s="5"/>
      <c r="K19" s="5"/>
      <c r="L19" s="16"/>
      <c r="M19" s="8"/>
      <c r="N19" s="8"/>
      <c r="O19" s="8"/>
    </row>
    <row r="20" spans="6:10" ht="15">
      <c r="F20" s="28"/>
      <c r="G20" s="1"/>
      <c r="I20" s="27"/>
      <c r="J20" s="27"/>
    </row>
    <row r="21" spans="6:10" ht="15">
      <c r="F21" s="28"/>
      <c r="G21" s="1"/>
      <c r="I21" s="27"/>
      <c r="J21" s="27"/>
    </row>
    <row r="22" spans="6:10" ht="15">
      <c r="F22" s="28"/>
      <c r="G22" s="1"/>
      <c r="I22" s="27"/>
      <c r="J22" s="27"/>
    </row>
    <row r="23" spans="6:10" ht="15">
      <c r="F23" s="28"/>
      <c r="G23" s="1"/>
      <c r="I23" s="27"/>
      <c r="J23" s="27"/>
    </row>
    <row r="24" spans="6:10" ht="15">
      <c r="F24" s="28"/>
      <c r="G24" s="1"/>
      <c r="I24" s="27"/>
      <c r="J24" s="27"/>
    </row>
    <row r="25" spans="1:7" ht="15">
      <c r="A25" s="1"/>
      <c r="G25" s="1"/>
    </row>
    <row r="26" spans="1:7" ht="15">
      <c r="A26" s="1"/>
      <c r="G26" s="1"/>
    </row>
    <row r="27" spans="1:9" ht="15">
      <c r="A27" s="1"/>
      <c r="G27" s="1"/>
      <c r="I27" s="27" t="s">
        <v>0</v>
      </c>
    </row>
    <row r="28" spans="1:7" ht="15">
      <c r="A28" s="1"/>
      <c r="G28" s="1"/>
    </row>
    <row r="29" spans="1:7" ht="15">
      <c r="A29" s="1"/>
      <c r="G29" s="1"/>
    </row>
    <row r="30" spans="1:7" ht="15">
      <c r="A30" s="1"/>
      <c r="G30" s="1"/>
    </row>
    <row r="31" spans="1:7" ht="15">
      <c r="A31" s="1"/>
      <c r="G31" s="1"/>
    </row>
    <row r="32" spans="1:7" ht="15">
      <c r="A32" s="1"/>
      <c r="G32" s="1"/>
    </row>
    <row r="33" spans="1:7" ht="15">
      <c r="A33" s="1"/>
      <c r="G33" s="1"/>
    </row>
    <row r="34" spans="1:7" ht="15">
      <c r="A34" s="1"/>
      <c r="G34" s="1"/>
    </row>
    <row r="35" spans="1:7" ht="15">
      <c r="A35" s="1"/>
      <c r="G35" s="1"/>
    </row>
    <row r="36" spans="1:7" ht="15">
      <c r="A36" s="1"/>
      <c r="G36" s="1"/>
    </row>
    <row r="37" spans="1:7" ht="15">
      <c r="A37" s="1"/>
      <c r="G37" s="1"/>
    </row>
    <row r="38" spans="1:7" ht="15">
      <c r="A38" s="1"/>
      <c r="G38" s="1"/>
    </row>
    <row r="39" spans="1:11" ht="15">
      <c r="A39" s="1"/>
      <c r="G39" s="1"/>
      <c r="J39" s="15" t="s">
        <v>19</v>
      </c>
      <c r="K39" s="15"/>
    </row>
    <row r="40" spans="1:11" ht="15">
      <c r="A40" s="1"/>
      <c r="G40" s="1"/>
      <c r="J40" s="15" t="s">
        <v>17</v>
      </c>
      <c r="K40" s="15" t="s">
        <v>18</v>
      </c>
    </row>
    <row r="41" spans="1:11" ht="15">
      <c r="A41" s="1"/>
      <c r="G41" s="1" t="s">
        <v>0</v>
      </c>
      <c r="J41" s="15">
        <v>0</v>
      </c>
      <c r="K41" s="15">
        <v>5</v>
      </c>
    </row>
    <row r="42" spans="1:11" ht="15">
      <c r="A42" s="32"/>
      <c r="G42" s="1"/>
      <c r="J42" s="15">
        <f>LOG($D$56)</f>
        <v>0.1911309074206979</v>
      </c>
      <c r="K42" s="15">
        <v>5</v>
      </c>
    </row>
    <row r="43" spans="1:7" ht="15">
      <c r="A43" s="1"/>
      <c r="G43" s="1"/>
    </row>
    <row r="44" ht="15">
      <c r="A44" s="1"/>
    </row>
    <row r="45" spans="1:11" ht="12.75" customHeight="1">
      <c r="A45" s="1"/>
      <c r="H45" s="33"/>
      <c r="J45" s="15" t="s">
        <v>20</v>
      </c>
      <c r="K45" s="15"/>
    </row>
    <row r="46" spans="1:11" ht="15">
      <c r="A46" s="1"/>
      <c r="H46" s="33"/>
      <c r="J46" s="15" t="s">
        <v>17</v>
      </c>
      <c r="K46" s="15" t="s">
        <v>18</v>
      </c>
    </row>
    <row r="47" spans="1:11" ht="15">
      <c r="A47" s="1"/>
      <c r="H47" s="33"/>
      <c r="J47" s="15">
        <f>LOG($D$56)</f>
        <v>0.1911309074206979</v>
      </c>
      <c r="K47" s="15">
        <v>0</v>
      </c>
    </row>
    <row r="48" spans="1:11" ht="15">
      <c r="A48" s="1"/>
      <c r="J48" s="15">
        <f>LOG($D$56)</f>
        <v>0.1911309074206979</v>
      </c>
      <c r="K48" s="15">
        <v>5</v>
      </c>
    </row>
    <row r="49" ht="15">
      <c r="A49" s="1"/>
    </row>
    <row r="51" ht="8.25" customHeight="1"/>
    <row r="52" ht="15">
      <c r="B52" s="4" t="s">
        <v>36</v>
      </c>
    </row>
    <row r="53" spans="3:4" ht="15">
      <c r="C53" s="4" t="s">
        <v>1</v>
      </c>
      <c r="D53" s="33">
        <v>5</v>
      </c>
    </row>
    <row r="54" spans="3:4" ht="15">
      <c r="C54" s="4" t="s">
        <v>8</v>
      </c>
      <c r="D54" s="33">
        <f>INTERCEPT($K$8:$K$15,$J$8:$J$15)</f>
        <v>-6197373.43073236</v>
      </c>
    </row>
    <row r="55" spans="3:7" ht="15">
      <c r="C55" s="4" t="s">
        <v>7</v>
      </c>
      <c r="D55" s="33">
        <f>SLOPE($K$8:$K$15,$J$8:$J$15)</f>
        <v>32424784.219180852</v>
      </c>
      <c r="G55" s="1"/>
    </row>
    <row r="56" spans="2:5" ht="15">
      <c r="B56" s="34"/>
      <c r="C56" s="35" t="s">
        <v>10</v>
      </c>
      <c r="D56" s="36">
        <f>10^(($D$53-$D$54)/$D$55)</f>
        <v>1.5528550094806046</v>
      </c>
      <c r="E56" s="37" t="s">
        <v>30</v>
      </c>
    </row>
  </sheetData>
  <sheetProtection sheet="1"/>
  <mergeCells count="3">
    <mergeCell ref="G1:H1"/>
    <mergeCell ref="B4:H4"/>
    <mergeCell ref="B3:H3"/>
  </mergeCells>
  <dataValidations count="1">
    <dataValidation allowBlank="1" showInputMessage="1" showErrorMessage="1" sqref="E7:E15 G16:G17 K16:K17 H7:I15"/>
  </dataValidations>
  <printOptions/>
  <pageMargins left="0.5" right="0.5" top="0.5" bottom="0.5" header="0" footer="0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OutlineSymbols="0" zoomScale="87" zoomScaleNormal="87" zoomScalePageLayoutView="0" workbookViewId="0" topLeftCell="A1">
      <selection activeCell="B3" sqref="B3:H3"/>
    </sheetView>
  </sheetViews>
  <sheetFormatPr defaultColWidth="9.6640625" defaultRowHeight="15"/>
  <cols>
    <col min="1" max="1" width="13.6640625" style="4" customWidth="1"/>
    <col min="2" max="2" width="16.6640625" style="4" customWidth="1"/>
    <col min="3" max="3" width="9.6640625" style="4" customWidth="1"/>
    <col min="4" max="4" width="12.6640625" style="4" customWidth="1"/>
    <col min="5" max="5" width="9.6640625" style="4" customWidth="1"/>
    <col min="6" max="6" width="8.3359375" style="4" customWidth="1"/>
    <col min="7" max="7" width="10.6640625" style="4" customWidth="1"/>
    <col min="8" max="8" width="9.99609375" style="4" customWidth="1"/>
    <col min="9" max="9" width="9.6640625" style="4" customWidth="1"/>
    <col min="10" max="10" width="10.6640625" style="4" customWidth="1"/>
    <col min="11" max="16" width="9.6640625" style="4" customWidth="1"/>
    <col min="17" max="17" width="15.6640625" style="4" customWidth="1"/>
    <col min="18" max="16384" width="9.6640625" style="4" customWidth="1"/>
  </cols>
  <sheetData>
    <row r="1" spans="1:15" ht="18">
      <c r="A1" s="2" t="s">
        <v>14</v>
      </c>
      <c r="B1" s="1"/>
      <c r="C1" s="1"/>
      <c r="D1" s="3"/>
      <c r="E1" s="3"/>
      <c r="F1" s="3"/>
      <c r="G1" s="54">
        <f ca="1">NOW()</f>
        <v>43777.46972523148</v>
      </c>
      <c r="H1" s="54"/>
      <c r="J1" s="5"/>
      <c r="K1" s="5"/>
      <c r="L1" s="6"/>
      <c r="M1" s="6"/>
      <c r="N1" s="7"/>
      <c r="O1" s="8"/>
    </row>
    <row r="2" spans="1:15" ht="15">
      <c r="A2" s="1"/>
      <c r="D2" s="9"/>
      <c r="E2" s="3"/>
      <c r="F2" s="3"/>
      <c r="G2" s="1"/>
      <c r="I2" s="4" t="s">
        <v>0</v>
      </c>
      <c r="J2" s="5"/>
      <c r="K2" s="5"/>
      <c r="L2" s="10"/>
      <c r="M2" s="8"/>
      <c r="N2" s="11"/>
      <c r="O2" s="8"/>
    </row>
    <row r="3" spans="1:15" ht="15">
      <c r="A3" s="41" t="s">
        <v>34</v>
      </c>
      <c r="B3" s="53">
        <f>IF(probit!B3="","",probit!B3)</f>
      </c>
      <c r="C3" s="53"/>
      <c r="D3" s="53"/>
      <c r="E3" s="53"/>
      <c r="F3" s="53"/>
      <c r="G3" s="53"/>
      <c r="H3" s="53"/>
      <c r="J3" s="5"/>
      <c r="K3" s="5"/>
      <c r="L3" s="10"/>
      <c r="M3" s="8"/>
      <c r="N3" s="11"/>
      <c r="O3" s="8"/>
    </row>
    <row r="4" spans="1:15" ht="15">
      <c r="A4" s="41" t="s">
        <v>35</v>
      </c>
      <c r="B4" s="52">
        <f>IF(probit!B4="","",probit!B4)</f>
      </c>
      <c r="C4" s="52"/>
      <c r="D4" s="52"/>
      <c r="E4" s="52"/>
      <c r="F4" s="52"/>
      <c r="G4" s="52"/>
      <c r="H4" s="52"/>
      <c r="J4" s="5"/>
      <c r="K4" s="5"/>
      <c r="L4" s="10"/>
      <c r="M4" s="8"/>
      <c r="N4" s="11"/>
      <c r="O4" s="8"/>
    </row>
    <row r="5" spans="1:15" ht="15">
      <c r="A5" s="1"/>
      <c r="D5" s="3"/>
      <c r="E5" s="3"/>
      <c r="F5" s="3"/>
      <c r="G5" s="1"/>
      <c r="J5" s="5"/>
      <c r="K5" s="5"/>
      <c r="L5" s="10"/>
      <c r="M5" s="8"/>
      <c r="N5" s="11"/>
      <c r="O5" s="8"/>
    </row>
    <row r="6" spans="1:15" ht="15.75" customHeight="1">
      <c r="A6" s="1" t="s">
        <v>12</v>
      </c>
      <c r="C6" s="38">
        <f>probit!C6</f>
        <v>1</v>
      </c>
      <c r="D6" s="4" t="s">
        <v>13</v>
      </c>
      <c r="G6" s="1"/>
      <c r="J6" s="5"/>
      <c r="K6" s="5"/>
      <c r="L6" s="10"/>
      <c r="M6" s="8"/>
      <c r="N6" s="11"/>
      <c r="O6" s="8"/>
    </row>
    <row r="7" spans="1:15" ht="47.25" thickBot="1">
      <c r="A7" s="14" t="s">
        <v>31</v>
      </c>
      <c r="B7" s="14" t="s">
        <v>16</v>
      </c>
      <c r="C7" s="14" t="s">
        <v>15</v>
      </c>
      <c r="D7" s="14"/>
      <c r="E7" s="4" t="s">
        <v>28</v>
      </c>
      <c r="F7" s="14"/>
      <c r="G7" s="14"/>
      <c r="H7" s="14"/>
      <c r="I7" s="14"/>
      <c r="J7" s="15" t="s">
        <v>23</v>
      </c>
      <c r="K7" s="15"/>
      <c r="L7" s="16"/>
      <c r="M7" s="8"/>
      <c r="N7" s="8"/>
      <c r="O7" s="8"/>
    </row>
    <row r="8" spans="1:15" ht="18" thickBot="1">
      <c r="A8" s="42">
        <f>IF(probit!A8="",NA(),probit!A8)</f>
        <v>1</v>
      </c>
      <c r="B8" s="42">
        <f>IF(probit!B8="",NA(),probit!B8)</f>
        <v>1</v>
      </c>
      <c r="C8" s="47">
        <f>IF(ISERROR($B8),"",B8/$C$6)</f>
        <v>1</v>
      </c>
      <c r="D8" s="20"/>
      <c r="E8" s="4" t="s">
        <v>32</v>
      </c>
      <c r="F8" s="20"/>
      <c r="G8" s="22">
        <v>1</v>
      </c>
      <c r="H8" s="20" t="s">
        <v>22</v>
      </c>
      <c r="I8" s="27"/>
      <c r="J8" s="15" t="s">
        <v>24</v>
      </c>
      <c r="K8" s="15"/>
      <c r="L8" s="16"/>
      <c r="M8" s="8"/>
      <c r="N8" s="8"/>
      <c r="O8" s="8"/>
    </row>
    <row r="9" spans="1:15" ht="18" thickBot="1">
      <c r="A9" s="43">
        <f>IF(probit!A9="",NA(),probit!A9)</f>
        <v>2</v>
      </c>
      <c r="B9" s="43">
        <f>IF(probit!B9="",NA(),probit!B9)</f>
        <v>2</v>
      </c>
      <c r="C9" s="48">
        <f aca="true" t="shared" si="0" ref="C9:C15">IF(ISERROR($B9),"",B9/$C$6)</f>
        <v>2</v>
      </c>
      <c r="D9" s="20"/>
      <c r="E9" s="4" t="s">
        <v>33</v>
      </c>
      <c r="F9" s="20"/>
      <c r="G9" s="22">
        <v>1</v>
      </c>
      <c r="H9" s="20" t="s">
        <v>22</v>
      </c>
      <c r="I9" s="27"/>
      <c r="J9" s="15" t="s">
        <v>17</v>
      </c>
      <c r="K9" s="15" t="s">
        <v>18</v>
      </c>
      <c r="L9" s="16"/>
      <c r="M9" s="8"/>
      <c r="N9" s="8"/>
      <c r="O9" s="8"/>
    </row>
    <row r="10" spans="1:15" ht="15.75" thickBot="1">
      <c r="A10" s="43">
        <f>IF(probit!A10="",NA(),probit!A10)</f>
        <v>3</v>
      </c>
      <c r="B10" s="43">
        <f>IF(probit!B10="",NA(),probit!B10)</f>
        <v>3</v>
      </c>
      <c r="C10" s="48">
        <f t="shared" si="0"/>
        <v>3</v>
      </c>
      <c r="D10" s="20"/>
      <c r="E10" s="4" t="s">
        <v>21</v>
      </c>
      <c r="F10" s="20"/>
      <c r="G10" s="22">
        <v>1</v>
      </c>
      <c r="H10" s="20" t="s">
        <v>22</v>
      </c>
      <c r="I10" s="27"/>
      <c r="J10" s="15">
        <f>G8</f>
        <v>1</v>
      </c>
      <c r="K10" s="15">
        <v>0</v>
      </c>
      <c r="L10" s="16"/>
      <c r="M10" s="8"/>
      <c r="N10" s="8"/>
      <c r="O10" s="8"/>
    </row>
    <row r="11" spans="1:15" ht="15">
      <c r="A11" s="43">
        <f>IF(probit!A11="",NA(),probit!A11)</f>
        <v>4</v>
      </c>
      <c r="B11" s="43">
        <f>IF(probit!B11="",NA(),probit!B11)</f>
        <v>4</v>
      </c>
      <c r="C11" s="48">
        <f t="shared" si="0"/>
        <v>4</v>
      </c>
      <c r="D11" s="20"/>
      <c r="E11" s="4" t="s">
        <v>10</v>
      </c>
      <c r="F11" s="20"/>
      <c r="G11" s="40">
        <f>probit!D56</f>
        <v>1.5528550094806046</v>
      </c>
      <c r="H11" s="20" t="s">
        <v>22</v>
      </c>
      <c r="I11" s="27"/>
      <c r="J11" s="15">
        <f>J10</f>
        <v>1</v>
      </c>
      <c r="K11" s="39">
        <f>MAX($C$8:$C$15)</f>
        <v>5</v>
      </c>
      <c r="L11" s="16"/>
      <c r="M11" s="8"/>
      <c r="N11" s="11"/>
      <c r="O11" s="8"/>
    </row>
    <row r="12" spans="1:15" ht="15.75" thickBot="1">
      <c r="A12" s="43">
        <f>IF(probit!A12="",NA(),probit!A12)</f>
        <v>5</v>
      </c>
      <c r="B12" s="43">
        <f>IF(probit!B12="",NA(),probit!B12)</f>
        <v>5</v>
      </c>
      <c r="C12" s="48">
        <f t="shared" si="0"/>
        <v>5</v>
      </c>
      <c r="D12" s="20"/>
      <c r="E12" s="20"/>
      <c r="F12" s="20"/>
      <c r="G12" s="20"/>
      <c r="H12" s="20"/>
      <c r="I12" s="27"/>
      <c r="J12" s="15" t="s">
        <v>25</v>
      </c>
      <c r="K12" s="15"/>
      <c r="L12" s="16"/>
      <c r="M12" s="8"/>
      <c r="N12" s="8"/>
      <c r="O12" s="8"/>
    </row>
    <row r="13" spans="1:15" ht="18" thickBot="1">
      <c r="A13" s="43" t="e">
        <f>IF(probit!A13="",NA(),probit!A13)</f>
        <v>#N/A</v>
      </c>
      <c r="B13" s="43" t="e">
        <f>IF(probit!B13="",NA(),probit!B13)</f>
        <v>#N/A</v>
      </c>
      <c r="C13" s="48">
        <f t="shared" si="0"/>
      </c>
      <c r="D13" s="20"/>
      <c r="E13" s="4" t="s">
        <v>38</v>
      </c>
      <c r="F13" s="20"/>
      <c r="G13" s="22">
        <v>1</v>
      </c>
      <c r="H13" s="20" t="s">
        <v>37</v>
      </c>
      <c r="I13" s="27"/>
      <c r="J13" s="15" t="s">
        <v>17</v>
      </c>
      <c r="K13" s="15" t="s">
        <v>18</v>
      </c>
      <c r="L13" s="16"/>
      <c r="M13" s="8"/>
      <c r="N13" s="8"/>
      <c r="O13" s="8"/>
    </row>
    <row r="14" spans="1:15" ht="15">
      <c r="A14" s="43" t="e">
        <f>IF(probit!A14="",NA(),probit!A14)</f>
        <v>#N/A</v>
      </c>
      <c r="B14" s="43" t="e">
        <f>IF(probit!B14="",NA(),probit!B14)</f>
        <v>#N/A</v>
      </c>
      <c r="C14" s="48">
        <f t="shared" si="0"/>
      </c>
      <c r="D14" s="20"/>
      <c r="E14" s="20"/>
      <c r="F14" s="20"/>
      <c r="G14" s="20"/>
      <c r="H14" s="20"/>
      <c r="I14" s="27"/>
      <c r="J14" s="15">
        <f>G9</f>
        <v>1</v>
      </c>
      <c r="K14" s="15">
        <v>0</v>
      </c>
      <c r="L14" s="16"/>
      <c r="M14" s="8"/>
      <c r="N14" s="8"/>
      <c r="O14" s="8"/>
    </row>
    <row r="15" spans="1:15" ht="15">
      <c r="A15" s="44" t="e">
        <f>IF(probit!A15="",NA(),probit!A15)</f>
        <v>#N/A</v>
      </c>
      <c r="B15" s="44" t="e">
        <f>IF(probit!B15="",NA(),probit!B15)</f>
        <v>#N/A</v>
      </c>
      <c r="C15" s="46">
        <f t="shared" si="0"/>
      </c>
      <c r="D15" s="20"/>
      <c r="E15" s="20"/>
      <c r="F15" s="20"/>
      <c r="G15" s="20"/>
      <c r="H15" s="20"/>
      <c r="I15" s="27"/>
      <c r="J15" s="15">
        <f>J14</f>
        <v>1</v>
      </c>
      <c r="K15" s="15">
        <f>K11</f>
        <v>5</v>
      </c>
      <c r="L15" s="16"/>
      <c r="M15" s="8"/>
      <c r="N15" s="8"/>
      <c r="O15" s="8"/>
    </row>
    <row r="16" spans="1:15" ht="15">
      <c r="A16" s="25" t="s">
        <v>9</v>
      </c>
      <c r="B16" s="45" t="e">
        <f>SUM(B8:B15)</f>
        <v>#N/A</v>
      </c>
      <c r="C16" s="46">
        <f>SUM(C8:C15)</f>
        <v>15</v>
      </c>
      <c r="D16" s="27"/>
      <c r="E16" s="28"/>
      <c r="F16" s="28"/>
      <c r="G16" s="28"/>
      <c r="I16" s="29"/>
      <c r="J16" s="15" t="s">
        <v>26</v>
      </c>
      <c r="K16" s="15"/>
      <c r="L16" s="16"/>
      <c r="M16" s="8"/>
      <c r="N16" s="8"/>
      <c r="O16" s="8"/>
    </row>
    <row r="17" spans="1:15" ht="15">
      <c r="A17" s="25"/>
      <c r="B17" s="3"/>
      <c r="C17" s="26"/>
      <c r="D17" s="27"/>
      <c r="E17" s="28"/>
      <c r="F17" s="28"/>
      <c r="H17" s="29"/>
      <c r="I17" s="27"/>
      <c r="J17" s="15" t="s">
        <v>17</v>
      </c>
      <c r="K17" s="15" t="s">
        <v>18</v>
      </c>
      <c r="L17" s="16"/>
      <c r="M17" s="8"/>
      <c r="N17" s="8"/>
      <c r="O17" s="8"/>
    </row>
    <row r="18" spans="1:15" ht="15">
      <c r="A18" s="1"/>
      <c r="G18" s="1"/>
      <c r="J18" s="15">
        <f>G10</f>
        <v>1</v>
      </c>
      <c r="K18" s="15">
        <v>0</v>
      </c>
      <c r="L18" s="16"/>
      <c r="M18" s="8"/>
      <c r="N18" s="8"/>
      <c r="O18" s="8"/>
    </row>
    <row r="19" spans="6:11" ht="15">
      <c r="F19" s="28"/>
      <c r="G19" s="1"/>
      <c r="I19" s="27"/>
      <c r="J19" s="15">
        <f>G10</f>
        <v>1</v>
      </c>
      <c r="K19" s="15">
        <f>K15</f>
        <v>5</v>
      </c>
    </row>
    <row r="20" spans="6:11" ht="15">
      <c r="F20" s="28"/>
      <c r="G20" s="1"/>
      <c r="I20" s="27"/>
      <c r="J20" s="15" t="s">
        <v>27</v>
      </c>
      <c r="K20" s="15"/>
    </row>
    <row r="21" spans="6:11" ht="15">
      <c r="F21" s="28"/>
      <c r="G21" s="1"/>
      <c r="I21" s="27"/>
      <c r="J21" s="15" t="s">
        <v>17</v>
      </c>
      <c r="K21" s="15" t="s">
        <v>18</v>
      </c>
    </row>
    <row r="22" spans="6:11" ht="15">
      <c r="F22" s="28"/>
      <c r="G22" s="1"/>
      <c r="I22" s="27"/>
      <c r="J22" s="15">
        <f>G11</f>
        <v>1.5528550094806046</v>
      </c>
      <c r="K22" s="15">
        <v>0</v>
      </c>
    </row>
    <row r="23" spans="6:11" ht="15">
      <c r="F23" s="28"/>
      <c r="G23" s="1"/>
      <c r="I23" s="27"/>
      <c r="J23" s="15">
        <f>G11</f>
        <v>1.5528550094806046</v>
      </c>
      <c r="K23" s="15">
        <f>K19</f>
        <v>5</v>
      </c>
    </row>
    <row r="24" spans="1:7" ht="15">
      <c r="A24" s="1"/>
      <c r="G24" s="1"/>
    </row>
    <row r="25" spans="1:7" ht="15">
      <c r="A25" s="1"/>
      <c r="G25" s="1"/>
    </row>
    <row r="26" spans="1:9" ht="15">
      <c r="A26" s="1"/>
      <c r="G26" s="1"/>
      <c r="I26" s="27" t="s">
        <v>0</v>
      </c>
    </row>
    <row r="27" spans="1:7" ht="15">
      <c r="A27" s="1"/>
      <c r="G27" s="1"/>
    </row>
    <row r="28" spans="1:7" ht="15">
      <c r="A28" s="1"/>
      <c r="G28" s="1"/>
    </row>
    <row r="29" spans="1:7" ht="15">
      <c r="A29" s="1"/>
      <c r="G29" s="1"/>
    </row>
    <row r="30" spans="1:7" ht="15">
      <c r="A30" s="1"/>
      <c r="G30" s="1"/>
    </row>
    <row r="31" spans="1:7" ht="15">
      <c r="A31" s="1"/>
      <c r="G31" s="1"/>
    </row>
    <row r="32" spans="1:7" ht="15">
      <c r="A32" s="1"/>
      <c r="G32" s="1"/>
    </row>
    <row r="33" spans="1:7" ht="15">
      <c r="A33" s="1"/>
      <c r="G33" s="1"/>
    </row>
    <row r="34" spans="1:7" ht="15">
      <c r="A34" s="1"/>
      <c r="G34" s="1"/>
    </row>
    <row r="35" spans="1:7" ht="15">
      <c r="A35" s="1"/>
      <c r="G35" s="1"/>
    </row>
    <row r="36" spans="1:7" ht="15">
      <c r="A36" s="1"/>
      <c r="G36" s="1"/>
    </row>
    <row r="37" spans="1:7" ht="15">
      <c r="A37" s="1"/>
      <c r="G37" s="1"/>
    </row>
    <row r="38" spans="1:7" ht="15">
      <c r="A38" s="1"/>
      <c r="G38" s="1"/>
    </row>
    <row r="39" spans="1:7" ht="15">
      <c r="A39" s="1"/>
      <c r="G39" s="1"/>
    </row>
    <row r="40" spans="1:7" ht="15">
      <c r="A40" s="1"/>
      <c r="G40" s="1" t="s">
        <v>0</v>
      </c>
    </row>
    <row r="41" spans="1:7" ht="15">
      <c r="A41" s="32"/>
      <c r="G41" s="1"/>
    </row>
    <row r="42" spans="1:7" ht="15">
      <c r="A42" s="1"/>
      <c r="G42" s="1"/>
    </row>
    <row r="43" ht="15">
      <c r="A43" s="1"/>
    </row>
    <row r="44" spans="1:11" ht="12.75" customHeight="1">
      <c r="A44" s="1"/>
      <c r="H44" s="33"/>
      <c r="K44" s="33"/>
    </row>
    <row r="45" spans="1:11" ht="15">
      <c r="A45" s="1"/>
      <c r="H45" s="33"/>
      <c r="K45" s="33"/>
    </row>
    <row r="46" spans="1:11" ht="15">
      <c r="A46" s="1"/>
      <c r="H46" s="33"/>
      <c r="K46" s="33"/>
    </row>
    <row r="47" spans="1:11" ht="15">
      <c r="A47" s="1"/>
      <c r="K47" s="37"/>
    </row>
    <row r="48" ht="15">
      <c r="A48" s="1"/>
    </row>
  </sheetData>
  <sheetProtection sheet="1"/>
  <mergeCells count="3">
    <mergeCell ref="G1:H1"/>
    <mergeCell ref="B3:H3"/>
    <mergeCell ref="B4:H4"/>
  </mergeCells>
  <dataValidations count="1">
    <dataValidation allowBlank="1" showInputMessage="1" showErrorMessage="1" sqref="G16 E9:E15 H7:I15"/>
  </dataValidations>
  <printOptions/>
  <pageMargins left="0.5" right="0.5" top="0.5" bottom="0.5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Bowen</dc:creator>
  <cp:keywords/>
  <dc:description/>
  <cp:lastModifiedBy>David Dubins</cp:lastModifiedBy>
  <cp:lastPrinted>2014-11-05T21:33:48Z</cp:lastPrinted>
  <dcterms:created xsi:type="dcterms:W3CDTF">2002-11-08T04:22:32Z</dcterms:created>
  <dcterms:modified xsi:type="dcterms:W3CDTF">2019-11-08T16:16:38Z</dcterms:modified>
  <cp:category/>
  <cp:version/>
  <cp:contentType/>
  <cp:contentStatus/>
</cp:coreProperties>
</file>