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7440" windowHeight="13080" activeTab="0"/>
  </bookViews>
  <sheets>
    <sheet name="Curve" sheetId="1" r:id="rId1"/>
  </sheets>
  <definedNames>
    <definedName name="Adjust">'Curve'!$N$2</definedName>
    <definedName name="AverageMSM">'Curve'!#REF!</definedName>
    <definedName name="baby">#REF!</definedName>
    <definedName name="Century">'Curve'!$J$1</definedName>
    <definedName name="CurveAvg">'Curve'!$M$8</definedName>
    <definedName name="CurveMax">'Curve'!$B$8</definedName>
    <definedName name="CurveMid">'Curve'!$J$8</definedName>
    <definedName name="CurveMin">'Curve'!$E$8</definedName>
    <definedName name="CurveSpan">'Curve'!$H$8</definedName>
    <definedName name="Eccentricity">'Curve'!$M$53</definedName>
    <definedName name="hYear">'Curve'!$N$1</definedName>
    <definedName name="Lun">'Curve'!$H$3</definedName>
    <definedName name="molad">'Curve'!$I$1</definedName>
    <definedName name="MoladRefBabylon">'Curve'!$F$1</definedName>
    <definedName name="MonthDiff">'Curve'!#REF!</definedName>
    <definedName name="Moon">'Curve'!$H$3</definedName>
    <definedName name="Ref">'Curve'!$G$1</definedName>
    <definedName name="RefHours">'Curve'!$H$1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<sst xmlns="http://schemas.openxmlformats.org/spreadsheetml/2006/main" count="50" uniqueCount="50">
  <si>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Average Adjust (hours): </t>
  </si>
  <si>
    <r>
      <t>by Dr. Irv Bromberg, University of Toronto, revised 8 Shevat 5765  &lt;</t>
    </r>
    <r>
      <rPr>
        <b/>
        <sz val="12"/>
        <rFont val="Courier New"/>
        <family val="3"/>
      </rPr>
      <t>http://individual.utoronto.ca/kalendis/</t>
    </r>
    <r>
      <rPr>
        <b/>
        <sz val="12"/>
        <rFont val="Arial"/>
        <family val="2"/>
      </rPr>
      <t>&gt;.</t>
    </r>
  </si>
  <si>
    <r>
      <t xml:space="preserve">Aphelion is near the point where the up-going "Molad minus Mean New Moon" curve crosses the </t>
    </r>
    <r>
      <rPr>
        <b/>
        <sz val="12"/>
        <color indexed="10"/>
        <rFont val="Times New Roman"/>
        <family val="0"/>
      </rPr>
      <t>red mid-point line</t>
    </r>
    <r>
      <rPr>
        <sz val="12"/>
        <color indexed="10"/>
        <rFont val="Times New Roman"/>
        <family val="1"/>
      </rPr>
      <t>.</t>
    </r>
  </si>
  <si>
    <t>In the era of Hillel II the traditional Molad interval was almost exactly equal to the actual Mean Synodic Month.</t>
  </si>
  <si>
    <t>Moladot before Hillel II back-calculate later than the Mean New Moon because at that time the Mean Synodic Month was longer than the Molad.</t>
  </si>
  <si>
    <t>In our time, Earth reaches perihelion around January 3rd-4th (mid Tevet) and aphelion around July 4th (mid Tammuz).</t>
  </si>
  <si>
    <t>Variations in the duration of lunation are becoming less extreme as the Earth orbital eccentricity decreases.</t>
  </si>
  <si>
    <t>Over the range of years shown here the minimum to maximum span decreases as the years advance, because the Earth orbital eccentricity is decreasing.</t>
  </si>
  <si>
    <r>
      <t xml:space="preserve">In the era of Hillel II (4119, or 330–365 CE) the curve was almost symmetrical with respect to the </t>
    </r>
    <r>
      <rPr>
        <b/>
        <sz val="12"/>
        <color indexed="12"/>
        <rFont val="Times New Roman"/>
        <family val="0"/>
      </rPr>
      <t>blue zero difference line</t>
    </r>
    <r>
      <rPr>
        <sz val="12"/>
        <rFont val="Times New Roman"/>
        <family val="1"/>
      </rPr>
      <t>.  If the "Molad refers to halfway</t>
    </r>
  </si>
  <si>
    <r>
      <t xml:space="preserve">Subtracting month-specific values (see "Minutes Apart" cells above) resets all Moladot to the </t>
    </r>
    <r>
      <rPr>
        <b/>
        <sz val="12"/>
        <color indexed="12"/>
        <rFont val="Times New Roman"/>
        <family val="0"/>
      </rPr>
      <t>blue zero difference line</t>
    </r>
    <r>
      <rPr>
        <b/>
        <sz val="12"/>
        <rFont val="Times New Roman"/>
        <family val="0"/>
      </rPr>
      <t xml:space="preserve"> for all years shown.</t>
    </r>
  </si>
  <si>
    <t>See the web site given above for details concerning the arithmetic of the proposed Molad adjustments (average or month-specific).</t>
  </si>
  <si>
    <r>
      <t xml:space="preserve">The </t>
    </r>
    <r>
      <rPr>
        <b/>
        <sz val="12"/>
        <color indexed="46"/>
        <rFont val="Times New Roman"/>
        <family val="0"/>
      </rPr>
      <t>average Molad adjustment shown in lavender</t>
    </r>
    <r>
      <rPr>
        <sz val="12"/>
        <rFont val="Times New Roman"/>
        <family val="1"/>
      </rPr>
      <t xml:space="preserve"> is symmetrically aligned at the </t>
    </r>
    <r>
      <rPr>
        <b/>
        <sz val="12"/>
        <color indexed="12"/>
        <rFont val="Times New Roman"/>
        <family val="0"/>
      </rPr>
      <t>blue zero difference line</t>
    </r>
    <r>
      <rPr>
        <sz val="12"/>
        <rFont val="Times New Roman"/>
        <family val="1"/>
      </rPr>
      <t>, allowing a shift to the right with time and allows</t>
    </r>
  </si>
  <si>
    <r>
      <t xml:space="preserve">Perihelion is near the point where the down-going "Molad minus Mean New Moon" curve crosses the </t>
    </r>
    <r>
      <rPr>
        <b/>
        <sz val="12"/>
        <color indexed="10"/>
        <rFont val="Times New Roman"/>
        <family val="0"/>
      </rPr>
      <t>red mid-point line</t>
    </r>
    <r>
      <rPr>
        <sz val="12"/>
        <rFont val="Times New Roman"/>
        <family val="1"/>
      </rPr>
      <t>.</t>
    </r>
  </si>
  <si>
    <t>sides of Tishrei, with the Molad of both Tammuz and Tevet within a few minutes of the zero difference line.  This arrangement was probably intentional.</t>
  </si>
  <si>
    <t>Ur, the origin of the Chaldeans, is 46 solar minutes ahead of Jerusalem.  Cities near the meridian between Ur to Baghdad were major Jewish centers in 4119.</t>
  </si>
  <si>
    <t>the span to increase or decrease as the Earth orbital eccentricity increases or decreases.  It corrects for the progressive shortening of the Mean Synodic Month.</t>
  </si>
  <si>
    <t>Lunations are longer when Earth is moving fastest near perihelion (closest to Sun), giving the Molad a chance to "catch up".</t>
  </si>
  <si>
    <t>Lunations are shorter when Earth is moving slowest near aphelion (furthest from Sun), then the Molad falls behind.</t>
  </si>
  <si>
    <t>hours</t>
  </si>
  <si>
    <t>Future Moladot will drift progressively later at an accelerating rate because the Mean Synodic Month is less than the Molad, and getting shorter.</t>
  </si>
  <si>
    <t>Perihelion moves relative to the equinoxes at the rate of 1.72 degrees per century, with a period of 20930 years, moving 1 day later per 58 years.</t>
  </si>
  <si>
    <t>Average:</t>
  </si>
  <si>
    <t>Middle:</t>
  </si>
  <si>
    <t>between Ur and Jerusalem" checkbox is marked, then the year 4119 curve is perfectly centered above and below the zero difference line and balanced on both</t>
  </si>
  <si>
    <t xml:space="preserve">Optional: </t>
  </si>
  <si>
    <t xml:space="preserve">Average Adjust: </t>
  </si>
  <si>
    <t>Whether the traditional molad refers to Jerusalem or Babylon or in-between, this adjustment intentionally resets it to Jerusalem Mean Solar Time.</t>
  </si>
  <si>
    <t>Nisan</t>
  </si>
  <si>
    <t>Iyar</t>
  </si>
  <si>
    <t>Sivan</t>
  </si>
  <si>
    <t>Tammuz</t>
  </si>
  <si>
    <t>Av</t>
  </si>
  <si>
    <t>Elul</t>
  </si>
  <si>
    <t>Tishrei</t>
  </si>
  <si>
    <t>Cheshvan</t>
  </si>
  <si>
    <t>Kislev</t>
  </si>
  <si>
    <t>Tevet</t>
  </si>
  <si>
    <t>Shevat</t>
  </si>
  <si>
    <t>Adar</t>
  </si>
  <si>
    <t xml:space="preserve">Lunation: </t>
  </si>
  <si>
    <t xml:space="preserve">Month Name: </t>
  </si>
  <si>
    <t>Molad minus Mean New Moon</t>
  </si>
  <si>
    <t xml:space="preserve">Minutes Apart: </t>
  </si>
  <si>
    <t xml:space="preserve">Hours Apart: </t>
  </si>
  <si>
    <t>Adar 2</t>
  </si>
  <si>
    <t xml:space="preserve">Month Number: </t>
  </si>
  <si>
    <t xml:space="preserve">Hebrew Year: </t>
  </si>
  <si>
    <t xml:space="preserve">Maximum: </t>
  </si>
  <si>
    <t xml:space="preserve">Minimum: </t>
  </si>
  <si>
    <t xml:space="preserve">Span: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</si>
</sst>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\+0.0;\-0.0;0"/>
    <numFmt numFmtId="174" formatCode="\+0;\-0;0"/>
    <numFmt numFmtId="175" formatCode="\+0.00;\-0.00;0"/>
    <numFmt numFmtId="176" formatCode="0.00000000000000E+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5">
    <font>
      <sz val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12"/>
      <name val="Times New Roman"/>
      <family val="1"/>
    </font>
    <font>
      <b/>
      <sz val="12"/>
      <name val="Courier New"/>
      <family val="3"/>
    </font>
    <font>
      <u val="single"/>
      <sz val="9"/>
      <color indexed="12"/>
      <name val="Arial"/>
      <family val="0"/>
    </font>
    <font>
      <u val="single"/>
      <sz val="9"/>
      <color indexed="61"/>
      <name val="Arial"/>
      <family val="0"/>
    </font>
    <font>
      <sz val="10"/>
      <name val="Geneva"/>
      <family val="0"/>
    </font>
    <font>
      <sz val="12"/>
      <color indexed="9"/>
      <name val="Arial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60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sz val="12"/>
      <color indexed="60"/>
      <name val="Arial"/>
      <family val="2"/>
    </font>
    <font>
      <sz val="12"/>
      <color indexed="46"/>
      <name val="Arial"/>
      <family val="0"/>
    </font>
    <font>
      <b/>
      <sz val="12"/>
      <name val="Times New Roman"/>
      <family val="0"/>
    </font>
    <font>
      <b/>
      <sz val="12"/>
      <color indexed="10"/>
      <name val="Times New Roman"/>
      <family val="0"/>
    </font>
    <font>
      <b/>
      <sz val="12"/>
      <color indexed="12"/>
      <name val="Times New Roman"/>
      <family val="0"/>
    </font>
    <font>
      <b/>
      <sz val="12"/>
      <color indexed="46"/>
      <name val="Times New Roman"/>
      <family val="0"/>
    </font>
    <font>
      <i/>
      <sz val="12"/>
      <name val="Arial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46"/>
      </left>
      <right style="hair">
        <color indexed="46"/>
      </right>
      <top style="hair">
        <color indexed="46"/>
      </top>
      <bottom style="hair">
        <color indexed="4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/>
      <protection/>
    </xf>
    <xf numFmtId="0" fontId="0" fillId="0" borderId="1" xfId="0" applyBorder="1" applyAlignment="1" applyProtection="1">
      <alignment horizontal="right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2" xfId="0" applyBorder="1" applyAlignment="1" applyProtection="1">
      <alignment horizontal="center" vertical="center"/>
      <protection/>
    </xf>
    <xf numFmtId="173" fontId="0" fillId="0" borderId="2" xfId="0" applyNumberFormat="1" applyBorder="1" applyAlignment="1" applyProtection="1">
      <alignment vertical="center"/>
      <protection/>
    </xf>
    <xf numFmtId="175" fontId="0" fillId="0" borderId="2" xfId="0" applyNumberFormat="1" applyBorder="1" applyAlignment="1" applyProtection="1">
      <alignment vertical="center"/>
      <protection/>
    </xf>
    <xf numFmtId="175" fontId="1" fillId="0" borderId="2" xfId="0" applyNumberFormat="1" applyFont="1" applyBorder="1" applyAlignment="1" applyProtection="1">
      <alignment vertical="center"/>
      <protection/>
    </xf>
    <xf numFmtId="173" fontId="17" fillId="0" borderId="0" xfId="0" applyNumberFormat="1" applyFont="1" applyBorder="1" applyAlignment="1" applyProtection="1">
      <alignment horizontal="right" vertical="center"/>
      <protection/>
    </xf>
    <xf numFmtId="175" fontId="14" fillId="0" borderId="0" xfId="0" applyNumberFormat="1" applyFont="1" applyBorder="1" applyAlignment="1" applyProtection="1">
      <alignment horizontal="right" vertical="center"/>
      <protection/>
    </xf>
    <xf numFmtId="173" fontId="16" fillId="0" borderId="0" xfId="0" applyNumberFormat="1" applyFont="1" applyBorder="1" applyAlignment="1" applyProtection="1">
      <alignment horizontal="right" vertical="center"/>
      <protection/>
    </xf>
    <xf numFmtId="175" fontId="11" fillId="0" borderId="0" xfId="0" applyNumberFormat="1" applyFont="1" applyBorder="1" applyAlignment="1" applyProtection="1">
      <alignment horizontal="right" vertical="center"/>
      <protection/>
    </xf>
    <xf numFmtId="173" fontId="0" fillId="0" borderId="0" xfId="0" applyNumberFormat="1" applyBorder="1" applyAlignment="1" applyProtection="1">
      <alignment horizontal="right" vertical="center"/>
      <protection/>
    </xf>
    <xf numFmtId="2" fontId="1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right" vertical="center"/>
      <protection/>
    </xf>
    <xf numFmtId="175" fontId="12" fillId="0" borderId="0" xfId="0" applyNumberFormat="1" applyFont="1" applyBorder="1" applyAlignment="1" applyProtection="1">
      <alignment horizontal="right" vertical="center"/>
      <protection/>
    </xf>
    <xf numFmtId="173" fontId="0" fillId="0" borderId="0" xfId="0" applyNumberFormat="1" applyBorder="1" applyAlignment="1" applyProtection="1">
      <alignment vertical="center"/>
      <protection/>
    </xf>
    <xf numFmtId="175" fontId="13" fillId="0" borderId="0" xfId="0" applyNumberFormat="1" applyFont="1" applyFill="1" applyBorder="1" applyAlignment="1" applyProtection="1">
      <alignment horizontal="right" vertical="center"/>
      <protection/>
    </xf>
    <xf numFmtId="173" fontId="18" fillId="0" borderId="3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2" fontId="1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10" fontId="1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vertical="center"/>
      <protection/>
    </xf>
    <xf numFmtId="0" fontId="2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5225"/>
          <c:w val="0.96775"/>
          <c:h val="0.94775"/>
        </c:manualLayout>
      </c:layout>
      <c:lineChart>
        <c:grouping val="standard"/>
        <c:varyColors val="0"/>
        <c:ser>
          <c:idx val="6"/>
          <c:order val="0"/>
          <c:tx>
            <c:v>Maximum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cat>
            <c:strRef>
              <c:f>Curve!$B$5:$N$5</c:f>
              <c:strCache/>
            </c:strRef>
          </c:cat>
          <c:val>
            <c:numRef>
              <c:f>Curve!$B$11:$N$11</c:f>
              <c:numCache/>
            </c:numRef>
          </c:val>
          <c:smooth val="0"/>
        </c:ser>
        <c:ser>
          <c:idx val="5"/>
          <c:order val="1"/>
          <c:tx>
            <c:v>Year Mid-Point</c:v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cat>
            <c:strRef>
              <c:f>Curve!$B$5:$N$5</c:f>
              <c:strCache/>
            </c:strRef>
          </c:cat>
          <c:val>
            <c:numRef>
              <c:f>Curve!$B$13:$N$13</c:f>
              <c:numCache/>
            </c:numRef>
          </c:val>
          <c:smooth val="0"/>
        </c:ser>
        <c:ser>
          <c:idx val="1"/>
          <c:order val="2"/>
          <c:tx>
            <c:v>Zero Difference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Curve!$B$5:$N$5</c:f>
              <c:strCache/>
            </c:strRef>
          </c:cat>
          <c:val>
            <c:numLit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smooth val="0"/>
        </c:ser>
        <c:ser>
          <c:idx val="7"/>
          <c:order val="3"/>
          <c:tx>
            <c:v>Minimum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cat>
            <c:strRef>
              <c:f>Curve!$B$5:$N$5</c:f>
              <c:strCache/>
            </c:strRef>
          </c:cat>
          <c:val>
            <c:numRef>
              <c:f>Curve!$B$14:$N$14</c:f>
              <c:numCache/>
            </c:numRef>
          </c:val>
          <c:smooth val="0"/>
        </c:ser>
        <c:ser>
          <c:idx val="0"/>
          <c:order val="4"/>
          <c:tx>
            <c:v>Traditional Molad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Curve!$B$5:$N$5</c:f>
              <c:strCache/>
            </c:strRef>
          </c:cat>
          <c:val>
            <c:numRef>
              <c:f>Curve!$B$7:$N$7</c:f>
              <c:numCache/>
            </c:numRef>
          </c:val>
          <c:smooth val="0"/>
        </c:ser>
        <c:ser>
          <c:idx val="2"/>
          <c:order val="5"/>
          <c:tx>
            <c:v>Average Adjusted Molad</c:v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noFill/>
              <a:ln>
                <a:noFill/>
              </a:ln>
            </c:spPr>
          </c:marker>
          <c:val>
            <c:numRef>
              <c:f>Curve!$B$9:$N$9</c:f>
              <c:numCache/>
            </c:numRef>
          </c:val>
          <c:smooth val="0"/>
        </c:ser>
        <c:marker val="1"/>
        <c:axId val="20890693"/>
        <c:axId val="13131302"/>
      </c:lineChart>
      <c:catAx>
        <c:axId val="2089069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131302"/>
        <c:crossesAt val="-5"/>
        <c:auto val="1"/>
        <c:lblOffset val="100"/>
        <c:noMultiLvlLbl val="0"/>
      </c:catAx>
      <c:valAx>
        <c:axId val="13131302"/>
        <c:scaling>
          <c:orientation val="minMax"/>
          <c:max val="2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Molad minus Mean New Moon (hours)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+0;\-0;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20890693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2475"/>
          <c:y val="0.00675"/>
          <c:w val="0.933"/>
          <c:h val="0.03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9</xdr:row>
      <xdr:rowOff>76200</xdr:rowOff>
    </xdr:from>
    <xdr:to>
      <xdr:col>13</xdr:col>
      <xdr:colOff>657225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8575" y="1971675"/>
        <a:ext cx="9906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tabSelected="1" workbookViewId="0" topLeftCell="A1">
      <selection activeCell="N1" sqref="N1"/>
    </sheetView>
  </sheetViews>
  <sheetFormatPr defaultColWidth="11.5546875" defaultRowHeight="15"/>
  <cols>
    <col min="1" max="1" width="14.3359375" style="3" customWidth="1"/>
    <col min="2" max="4" width="7.6640625" style="3" bestFit="1" customWidth="1"/>
    <col min="5" max="5" width="8.10546875" style="3" bestFit="1" customWidth="1"/>
    <col min="6" max="8" width="7.6640625" style="3" bestFit="1" customWidth="1"/>
    <col min="9" max="9" width="9.3359375" style="3" bestFit="1" customWidth="1"/>
    <col min="10" max="12" width="7.6640625" style="3" bestFit="1" customWidth="1"/>
    <col min="13" max="13" width="7.4453125" style="3" customWidth="1"/>
    <col min="14" max="14" width="7.99609375" style="3" bestFit="1" customWidth="1"/>
    <col min="15" max="16384" width="8.88671875" style="3" customWidth="1"/>
  </cols>
  <sheetData>
    <row r="1" spans="1:14" ht="23.25">
      <c r="A1" s="2" t="s">
        <v>41</v>
      </c>
      <c r="F1" s="30" t="b">
        <v>1</v>
      </c>
      <c r="G1" s="31">
        <f>IF(MoladRefBabylon,23,0)</f>
        <v>23</v>
      </c>
      <c r="H1" s="31">
        <f>Ref/60</f>
        <v>0.38333333333333336</v>
      </c>
      <c r="I1" s="24">
        <f>(29+12/24+44/1440+1/25920)</f>
        <v>29.530594135802467</v>
      </c>
      <c r="M1" s="5" t="s">
        <v>46</v>
      </c>
      <c r="N1" s="1">
        <v>5765</v>
      </c>
    </row>
    <row r="2" spans="1:14" s="8" customFormat="1" ht="21" customHeight="1">
      <c r="A2" s="4" t="s">
        <v>24</v>
      </c>
      <c r="B2" s="27"/>
      <c r="M2" s="28" t="s">
        <v>0</v>
      </c>
      <c r="N2" s="29">
        <f>-(24*(Lun-50934)*(molad-(29.5306096284471-(50934+Lun)*0.000000000310214398741745/2))+RefHours)</f>
        <v>-2.076384053667774</v>
      </c>
    </row>
    <row r="3" spans="1:14" s="8" customFormat="1" ht="15" customHeight="1">
      <c r="A3" s="6" t="s">
        <v>39</v>
      </c>
      <c r="B3" s="7">
        <f aca="true" t="shared" si="0" ref="B3:N3">B4-7+INT((235*IF(B4&lt;7,hYear+1,hYear)-234)/19)</f>
        <v>71298</v>
      </c>
      <c r="C3" s="7">
        <f t="shared" si="0"/>
        <v>71299</v>
      </c>
      <c r="D3" s="7">
        <f t="shared" si="0"/>
        <v>71300</v>
      </c>
      <c r="E3" s="7">
        <f t="shared" si="0"/>
        <v>71301</v>
      </c>
      <c r="F3" s="7">
        <f t="shared" si="0"/>
        <v>71302</v>
      </c>
      <c r="G3" s="7">
        <f t="shared" si="0"/>
        <v>71303</v>
      </c>
      <c r="H3" s="7">
        <f t="shared" si="0"/>
        <v>71291</v>
      </c>
      <c r="I3" s="7">
        <f t="shared" si="0"/>
        <v>71292</v>
      </c>
      <c r="J3" s="7">
        <f t="shared" si="0"/>
        <v>71293</v>
      </c>
      <c r="K3" s="7">
        <f t="shared" si="0"/>
        <v>71294</v>
      </c>
      <c r="L3" s="7">
        <f t="shared" si="0"/>
        <v>71295</v>
      </c>
      <c r="M3" s="7">
        <f t="shared" si="0"/>
        <v>71296</v>
      </c>
      <c r="N3" s="7">
        <f t="shared" si="0"/>
        <v>71297</v>
      </c>
    </row>
    <row r="4" spans="1:14" s="8" customFormat="1" ht="15" customHeight="1">
      <c r="A4" s="6" t="s">
        <v>45</v>
      </c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</row>
    <row r="5" spans="1:14" s="8" customFormat="1" ht="15" customHeight="1">
      <c r="A5" s="6" t="s">
        <v>40</v>
      </c>
      <c r="B5" s="9" t="s">
        <v>27</v>
      </c>
      <c r="C5" s="9" t="s">
        <v>28</v>
      </c>
      <c r="D5" s="9" t="s">
        <v>29</v>
      </c>
      <c r="E5" s="9" t="s">
        <v>30</v>
      </c>
      <c r="F5" s="9" t="s">
        <v>31</v>
      </c>
      <c r="G5" s="9" t="s">
        <v>32</v>
      </c>
      <c r="H5" s="9" t="s">
        <v>33</v>
      </c>
      <c r="I5" s="9" t="s">
        <v>34</v>
      </c>
      <c r="J5" s="9" t="s">
        <v>35</v>
      </c>
      <c r="K5" s="9" t="s">
        <v>36</v>
      </c>
      <c r="L5" s="9" t="s">
        <v>37</v>
      </c>
      <c r="M5" s="9" t="s">
        <v>38</v>
      </c>
      <c r="N5" s="9" t="s">
        <v>44</v>
      </c>
    </row>
    <row r="6" spans="1:14" s="8" customFormat="1" ht="15" customHeight="1">
      <c r="A6" s="6" t="s">
        <v>42</v>
      </c>
      <c r="B6" s="10">
        <f>0.000000260571110766646*B3*B3-0.0266848709499308*B3+459.733981958199-Ref</f>
        <v>-141.25551077518287</v>
      </c>
      <c r="C6" s="10">
        <f>0.000000258045601478965*C3*C3-0.0282798810954184*C3+602.613646722384-Ref</f>
        <v>-124.92654876197832</v>
      </c>
      <c r="D6" s="10">
        <f>0.000000247436539938585*D3*D3-0.0284308587281714*D3+739.45859065704-Ref</f>
        <v>-52.77097294119551</v>
      </c>
      <c r="E6" s="10">
        <f>0.000000231521759919978*E3*E3-0.0271527221585827*E3+838.661835188114-Ref</f>
        <v>56.663463481088115</v>
      </c>
      <c r="F6" s="10">
        <f>0.00000021372693269941*F3*F3-0.0247163302893743*F3+875.723168374493-Ref</f>
        <v>176.9818123523038</v>
      </c>
      <c r="G6" s="10">
        <f>0.00000019776368538253*G3*G3-0.0216233269966286*G3+838.834835036855-Ref</f>
        <v>279.4806250230397</v>
      </c>
      <c r="H6" s="10">
        <f>0.000000187421489154775*H3*H3-0.0185882945343438*H3+734.333759456244-Ref</f>
        <v>338.7078824515378</v>
      </c>
      <c r="I6" s="10">
        <f>0.000000185731162681391*I3*I3-0.016396901469117*I3+586.895817822247-Ref</f>
        <v>338.91570247412585</v>
      </c>
      <c r="J6" s="10">
        <f>0.000000194119804074587*J3*J3-0.0157422001314177*J3+436.719151346648-Ref</f>
        <v>278.06162327686616</v>
      </c>
      <c r="K6" s="10">
        <f>0.000000210896269743342*K3*K3-0.016883189899286*K3+325.43829209883-Ref</f>
        <v>170.71897369453762</v>
      </c>
      <c r="L6" s="10">
        <f>0.000000231193785102518*L3*L3-0.0194832635929029*L3+281.94752164862-Ref</f>
        <v>45.04094179149405</v>
      </c>
      <c r="M6" s="10">
        <f>0.000000248853647133124*M3*M3-0.0227488822887766*M3+314.646199528858-Ref</f>
        <v>-65.30525687623367</v>
      </c>
      <c r="N6" s="10">
        <f>0.000000256850690652121*N3*N3-0.0248814040457114*N3+372.819958045515-Ref</f>
        <v>-118.51009705409433</v>
      </c>
    </row>
    <row r="7" spans="1:14" s="8" customFormat="1" ht="15" customHeight="1">
      <c r="A7" s="6" t="s">
        <v>43</v>
      </c>
      <c r="B7" s="11">
        <f>B6/60</f>
        <v>-2.3542585129197144</v>
      </c>
      <c r="C7" s="11">
        <f>C6/60</f>
        <v>-2.082109146032972</v>
      </c>
      <c r="D7" s="11">
        <f>D6/60</f>
        <v>-0.8795162156865918</v>
      </c>
      <c r="E7" s="12">
        <f>E6/60</f>
        <v>0.9443910580181353</v>
      </c>
      <c r="F7" s="11">
        <f>F6/60</f>
        <v>2.9496968725383965</v>
      </c>
      <c r="G7" s="11">
        <f aca="true" t="shared" si="1" ref="G7:N7">G6/60</f>
        <v>4.6580104170506615</v>
      </c>
      <c r="H7" s="11">
        <f t="shared" si="1"/>
        <v>5.645131374192297</v>
      </c>
      <c r="I7" s="11">
        <f t="shared" si="1"/>
        <v>5.64859504123543</v>
      </c>
      <c r="J7" s="11">
        <f t="shared" si="1"/>
        <v>4.634360387947769</v>
      </c>
      <c r="K7" s="12">
        <f t="shared" si="1"/>
        <v>2.845316228242294</v>
      </c>
      <c r="L7" s="11">
        <f t="shared" si="1"/>
        <v>0.7506823631915674</v>
      </c>
      <c r="M7" s="11">
        <f t="shared" si="1"/>
        <v>-1.0884209479372278</v>
      </c>
      <c r="N7" s="11">
        <f t="shared" si="1"/>
        <v>-1.9751682842349054</v>
      </c>
    </row>
    <row r="8" spans="1:14" s="8" customFormat="1" ht="15" customHeight="1">
      <c r="A8" s="13" t="s">
        <v>47</v>
      </c>
      <c r="B8" s="14">
        <f>MAX(B7:N7)</f>
        <v>5.64859504123543</v>
      </c>
      <c r="D8" s="15" t="s">
        <v>48</v>
      </c>
      <c r="E8" s="16">
        <f>MIN(B7:N7)</f>
        <v>-2.3542585129197144</v>
      </c>
      <c r="G8" s="17" t="s">
        <v>49</v>
      </c>
      <c r="H8" s="18">
        <f>CurveMax-CurveMin</f>
        <v>8.002853554155145</v>
      </c>
      <c r="I8" s="19" t="s">
        <v>22</v>
      </c>
      <c r="J8" s="20">
        <f>(CurveMax+CurveMin)/2</f>
        <v>1.647168264157858</v>
      </c>
      <c r="L8" s="21" t="s">
        <v>21</v>
      </c>
      <c r="M8" s="22">
        <f>AVERAGE(B7:N7)</f>
        <v>1.5151315873542417</v>
      </c>
      <c r="N8" s="8" t="s">
        <v>18</v>
      </c>
    </row>
    <row r="9" spans="1:14" s="8" customFormat="1" ht="15" customHeight="1">
      <c r="A9" s="33" t="s">
        <v>25</v>
      </c>
      <c r="B9" s="23">
        <f aca="true" t="shared" si="2" ref="B9:N9">B7+Adjust+RefHours</f>
        <v>-4.047309233254155</v>
      </c>
      <c r="C9" s="23">
        <f t="shared" si="2"/>
        <v>-3.7751598663674124</v>
      </c>
      <c r="D9" s="23">
        <f t="shared" si="2"/>
        <v>-2.5725669360210324</v>
      </c>
      <c r="E9" s="23">
        <f t="shared" si="2"/>
        <v>-0.7486596623163053</v>
      </c>
      <c r="F9" s="23">
        <f t="shared" si="2"/>
        <v>1.256646152203956</v>
      </c>
      <c r="G9" s="23">
        <f t="shared" si="2"/>
        <v>2.964959696716221</v>
      </c>
      <c r="H9" s="23">
        <f t="shared" si="2"/>
        <v>3.9520806538578563</v>
      </c>
      <c r="I9" s="23">
        <f t="shared" si="2"/>
        <v>3.95554432090099</v>
      </c>
      <c r="J9" s="23">
        <f t="shared" si="2"/>
        <v>2.9413096676133286</v>
      </c>
      <c r="K9" s="23">
        <f t="shared" si="2"/>
        <v>1.1522655079078534</v>
      </c>
      <c r="L9" s="23">
        <f t="shared" si="2"/>
        <v>-0.9423683571428731</v>
      </c>
      <c r="M9" s="23">
        <f t="shared" si="2"/>
        <v>-2.7814716682716685</v>
      </c>
      <c r="N9" s="23">
        <f t="shared" si="2"/>
        <v>-3.668219004569346</v>
      </c>
    </row>
    <row r="10" ht="15" customHeight="1"/>
    <row r="11" spans="2:14" ht="15">
      <c r="B11" s="24">
        <f>CurveMax</f>
        <v>5.64859504123543</v>
      </c>
      <c r="C11" s="24">
        <f aca="true" t="shared" si="3" ref="C11:N11">CurveMax</f>
        <v>5.64859504123543</v>
      </c>
      <c r="D11" s="24">
        <f t="shared" si="3"/>
        <v>5.64859504123543</v>
      </c>
      <c r="E11" s="24">
        <f t="shared" si="3"/>
        <v>5.64859504123543</v>
      </c>
      <c r="F11" s="24">
        <f t="shared" si="3"/>
        <v>5.64859504123543</v>
      </c>
      <c r="G11" s="24">
        <f t="shared" si="3"/>
        <v>5.64859504123543</v>
      </c>
      <c r="H11" s="24">
        <f t="shared" si="3"/>
        <v>5.64859504123543</v>
      </c>
      <c r="I11" s="24">
        <f t="shared" si="3"/>
        <v>5.64859504123543</v>
      </c>
      <c r="J11" s="24">
        <f t="shared" si="3"/>
        <v>5.64859504123543</v>
      </c>
      <c r="K11" s="24">
        <f t="shared" si="3"/>
        <v>5.64859504123543</v>
      </c>
      <c r="L11" s="24">
        <f t="shared" si="3"/>
        <v>5.64859504123543</v>
      </c>
      <c r="M11" s="24">
        <f t="shared" si="3"/>
        <v>5.64859504123543</v>
      </c>
      <c r="N11" s="24">
        <f t="shared" si="3"/>
        <v>5.64859504123543</v>
      </c>
    </row>
    <row r="12" spans="2:15" ht="15">
      <c r="B12" s="24">
        <f>CurveAvg</f>
        <v>1.5151315873542417</v>
      </c>
      <c r="C12" s="24">
        <f aca="true" t="shared" si="4" ref="C12:N12">CurveAvg</f>
        <v>1.5151315873542417</v>
      </c>
      <c r="D12" s="24">
        <f t="shared" si="4"/>
        <v>1.5151315873542417</v>
      </c>
      <c r="E12" s="24">
        <f t="shared" si="4"/>
        <v>1.5151315873542417</v>
      </c>
      <c r="F12" s="24">
        <f t="shared" si="4"/>
        <v>1.5151315873542417</v>
      </c>
      <c r="G12" s="24">
        <f t="shared" si="4"/>
        <v>1.5151315873542417</v>
      </c>
      <c r="H12" s="24">
        <f t="shared" si="4"/>
        <v>1.5151315873542417</v>
      </c>
      <c r="I12" s="24">
        <f t="shared" si="4"/>
        <v>1.5151315873542417</v>
      </c>
      <c r="J12" s="24">
        <f t="shared" si="4"/>
        <v>1.5151315873542417</v>
      </c>
      <c r="K12" s="24">
        <f t="shared" si="4"/>
        <v>1.5151315873542417</v>
      </c>
      <c r="L12" s="24">
        <f t="shared" si="4"/>
        <v>1.5151315873542417</v>
      </c>
      <c r="M12" s="24">
        <f t="shared" si="4"/>
        <v>1.5151315873542417</v>
      </c>
      <c r="N12" s="24">
        <f t="shared" si="4"/>
        <v>1.5151315873542417</v>
      </c>
      <c r="O12" s="35"/>
    </row>
    <row r="13" spans="2:14" ht="15">
      <c r="B13" s="24">
        <f>CurveMid</f>
        <v>1.647168264157858</v>
      </c>
      <c r="C13" s="24">
        <f aca="true" t="shared" si="5" ref="C13:N13">CurveMid</f>
        <v>1.647168264157858</v>
      </c>
      <c r="D13" s="24">
        <f t="shared" si="5"/>
        <v>1.647168264157858</v>
      </c>
      <c r="E13" s="24">
        <f t="shared" si="5"/>
        <v>1.647168264157858</v>
      </c>
      <c r="F13" s="24">
        <f t="shared" si="5"/>
        <v>1.647168264157858</v>
      </c>
      <c r="G13" s="24">
        <f t="shared" si="5"/>
        <v>1.647168264157858</v>
      </c>
      <c r="H13" s="24">
        <f t="shared" si="5"/>
        <v>1.647168264157858</v>
      </c>
      <c r="I13" s="24">
        <f t="shared" si="5"/>
        <v>1.647168264157858</v>
      </c>
      <c r="J13" s="24">
        <f t="shared" si="5"/>
        <v>1.647168264157858</v>
      </c>
      <c r="K13" s="24">
        <f t="shared" si="5"/>
        <v>1.647168264157858</v>
      </c>
      <c r="L13" s="24">
        <f t="shared" si="5"/>
        <v>1.647168264157858</v>
      </c>
      <c r="M13" s="24">
        <f t="shared" si="5"/>
        <v>1.647168264157858</v>
      </c>
      <c r="N13" s="24">
        <f t="shared" si="5"/>
        <v>1.647168264157858</v>
      </c>
    </row>
    <row r="14" spans="2:14" ht="15">
      <c r="B14" s="24">
        <f>CurveMin</f>
        <v>-2.3542585129197144</v>
      </c>
      <c r="C14" s="24">
        <f aca="true" t="shared" si="6" ref="C14:N14">CurveMin</f>
        <v>-2.3542585129197144</v>
      </c>
      <c r="D14" s="24">
        <f t="shared" si="6"/>
        <v>-2.3542585129197144</v>
      </c>
      <c r="E14" s="24">
        <f t="shared" si="6"/>
        <v>-2.3542585129197144</v>
      </c>
      <c r="F14" s="24">
        <f t="shared" si="6"/>
        <v>-2.3542585129197144</v>
      </c>
      <c r="G14" s="24">
        <f t="shared" si="6"/>
        <v>-2.3542585129197144</v>
      </c>
      <c r="H14" s="24">
        <f t="shared" si="6"/>
        <v>-2.3542585129197144</v>
      </c>
      <c r="I14" s="24">
        <f t="shared" si="6"/>
        <v>-2.3542585129197144</v>
      </c>
      <c r="J14" s="24">
        <f t="shared" si="6"/>
        <v>-2.3542585129197144</v>
      </c>
      <c r="K14" s="24">
        <f t="shared" si="6"/>
        <v>-2.3542585129197144</v>
      </c>
      <c r="L14" s="24">
        <f t="shared" si="6"/>
        <v>-2.3542585129197144</v>
      </c>
      <c r="M14" s="24">
        <f t="shared" si="6"/>
        <v>-2.3542585129197144</v>
      </c>
      <c r="N14" s="24">
        <f t="shared" si="6"/>
        <v>-2.3542585129197144</v>
      </c>
    </row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.75">
      <c r="A42" s="25" t="s">
        <v>1</v>
      </c>
    </row>
    <row r="44" s="8" customFormat="1" ht="19.5" customHeight="1">
      <c r="A44" s="26" t="s">
        <v>17</v>
      </c>
    </row>
    <row r="45" s="8" customFormat="1" ht="19.5" customHeight="1">
      <c r="A45" s="26" t="s">
        <v>2</v>
      </c>
    </row>
    <row r="46" s="8" customFormat="1" ht="19.5" customHeight="1">
      <c r="A46" s="26" t="s">
        <v>16</v>
      </c>
    </row>
    <row r="47" s="8" customFormat="1" ht="19.5" customHeight="1">
      <c r="A47" s="26" t="s">
        <v>12</v>
      </c>
    </row>
    <row r="48" s="8" customFormat="1" ht="19.5" customHeight="1">
      <c r="A48" s="26" t="s">
        <v>3</v>
      </c>
    </row>
    <row r="49" s="8" customFormat="1" ht="19.5" customHeight="1">
      <c r="A49" s="26" t="s">
        <v>4</v>
      </c>
    </row>
    <row r="50" s="8" customFormat="1" ht="19.5" customHeight="1">
      <c r="A50" s="26" t="s">
        <v>19</v>
      </c>
    </row>
    <row r="51" s="8" customFormat="1" ht="19.5" customHeight="1">
      <c r="A51" s="26" t="s">
        <v>20</v>
      </c>
    </row>
    <row r="52" s="8" customFormat="1" ht="19.5" customHeight="1">
      <c r="A52" s="26" t="s">
        <v>5</v>
      </c>
    </row>
    <row r="53" spans="1:13" s="8" customFormat="1" ht="19.5" customHeight="1">
      <c r="A53" s="26" t="s">
        <v>6</v>
      </c>
      <c r="L53" s="28" t="str">
        <f>"Year "&amp;hYear&amp;" Eccentricity ="</f>
        <v>Year 5765 Eccentricity =</v>
      </c>
      <c r="M53" s="32">
        <f>-0.0000000000134043341522242*hYear*hYear-0.000000250772715364899*hYear+0.018600978320998</f>
        <v>0.016709777555395003</v>
      </c>
    </row>
    <row r="54" s="8" customFormat="1" ht="19.5" customHeight="1">
      <c r="A54" s="26" t="s">
        <v>7</v>
      </c>
    </row>
    <row r="55" s="8" customFormat="1" ht="19.5" customHeight="1">
      <c r="A55" s="26" t="s">
        <v>8</v>
      </c>
    </row>
    <row r="56" s="8" customFormat="1" ht="19.5" customHeight="1">
      <c r="A56" s="26" t="s">
        <v>23</v>
      </c>
    </row>
    <row r="57" s="8" customFormat="1" ht="19.5" customHeight="1">
      <c r="A57" s="26" t="s">
        <v>13</v>
      </c>
    </row>
    <row r="58" s="8" customFormat="1" ht="19.5" customHeight="1">
      <c r="A58" s="26" t="s">
        <v>14</v>
      </c>
    </row>
    <row r="59" s="8" customFormat="1" ht="19.5" customHeight="1">
      <c r="A59" s="26" t="s">
        <v>11</v>
      </c>
    </row>
    <row r="60" s="8" customFormat="1" ht="19.5" customHeight="1">
      <c r="A60" s="26" t="s">
        <v>15</v>
      </c>
    </row>
    <row r="61" s="8" customFormat="1" ht="19.5" customHeight="1">
      <c r="A61" s="26" t="s">
        <v>26</v>
      </c>
    </row>
    <row r="62" ht="19.5" customHeight="1">
      <c r="A62" s="34" t="s">
        <v>9</v>
      </c>
    </row>
    <row r="63" s="8" customFormat="1" ht="19.5" customHeight="1">
      <c r="A63" s="26" t="s">
        <v>10</v>
      </c>
    </row>
    <row r="66" ht="15">
      <c r="A66" s="26"/>
    </row>
  </sheetData>
  <sheetProtection/>
  <printOptions horizontalCentered="1" verticalCentered="1"/>
  <pageMargins left="0.5" right="0.5" top="0.3" bottom="0.3" header="0.25" footer="0.25"/>
  <pageSetup fitToHeight="1" fitToWidth="1" orientation="portrait" scale="6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 Sinai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ibromberg</dc:creator>
  <cp:keywords/>
  <dc:description/>
  <cp:lastModifiedBy>Irv Bromberg</cp:lastModifiedBy>
  <cp:lastPrinted>2005-01-19T02:45:02Z</cp:lastPrinted>
  <dcterms:created xsi:type="dcterms:W3CDTF">2004-09-20T14:43:13Z</dcterms:created>
  <dcterms:modified xsi:type="dcterms:W3CDTF">2005-01-19T02:45:10Z</dcterms:modified>
  <cp:category/>
  <cp:version/>
  <cp:contentType/>
  <cp:contentStatus/>
</cp:coreProperties>
</file>